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riverBoard\"/>
    </mc:Choice>
  </mc:AlternateContent>
  <xr:revisionPtr revIDLastSave="0" documentId="13_ncr:1_{D678BA4C-668A-43AE-B6D6-185DE0206FD4}" xr6:coauthVersionLast="47" xr6:coauthVersionMax="47" xr10:uidLastSave="{00000000-0000-0000-0000-000000000000}"/>
  <bookViews>
    <workbookView xWindow="4180" yWindow="137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3" l="1"/>
  <c r="N60" i="3" s="1"/>
  <c r="O60" i="3" s="1"/>
  <c r="L60" i="3"/>
  <c r="M59" i="3"/>
  <c r="L59" i="3"/>
  <c r="M58" i="3"/>
  <c r="L58" i="3"/>
  <c r="M57" i="3"/>
  <c r="L57" i="3"/>
  <c r="M56" i="3"/>
  <c r="N56" i="3" s="1"/>
  <c r="O56" i="3" s="1"/>
  <c r="L56" i="3"/>
  <c r="M55" i="3"/>
  <c r="L55" i="3"/>
  <c r="M54" i="3"/>
  <c r="N54" i="3" s="1"/>
  <c r="O54" i="3" s="1"/>
  <c r="L54" i="3"/>
  <c r="M53" i="3"/>
  <c r="L53" i="3"/>
  <c r="M52" i="3"/>
  <c r="L52" i="3"/>
  <c r="N52" i="3" s="1"/>
  <c r="O52" i="3" s="1"/>
  <c r="M51" i="3"/>
  <c r="L51" i="3"/>
  <c r="M50" i="3"/>
  <c r="L50" i="3"/>
  <c r="M49" i="3"/>
  <c r="L49" i="3"/>
  <c r="M48" i="3"/>
  <c r="L48" i="3"/>
  <c r="M47" i="3"/>
  <c r="L47" i="3"/>
  <c r="M46" i="3"/>
  <c r="N46" i="3" s="1"/>
  <c r="O46" i="3" s="1"/>
  <c r="L46" i="3"/>
  <c r="M45" i="3"/>
  <c r="L45" i="3"/>
  <c r="M44" i="3"/>
  <c r="L44" i="3"/>
  <c r="M43" i="3"/>
  <c r="N43" i="3" s="1"/>
  <c r="O43" i="3" s="1"/>
  <c r="L43" i="3"/>
  <c r="M42" i="3"/>
  <c r="N42" i="3" s="1"/>
  <c r="O42" i="3" s="1"/>
  <c r="L42" i="3"/>
  <c r="M41" i="3"/>
  <c r="N41" i="3" s="1"/>
  <c r="O41" i="3" s="1"/>
  <c r="L41" i="3"/>
  <c r="M40" i="3"/>
  <c r="L40" i="3"/>
  <c r="M39" i="3"/>
  <c r="N39" i="3" s="1"/>
  <c r="O39" i="3" s="1"/>
  <c r="L39" i="3"/>
  <c r="M38" i="3"/>
  <c r="L38" i="3"/>
  <c r="M37" i="3"/>
  <c r="N37" i="3" s="1"/>
  <c r="O37" i="3" s="1"/>
  <c r="L37" i="3"/>
  <c r="M36" i="3"/>
  <c r="L36" i="3"/>
  <c r="M35" i="3"/>
  <c r="N35" i="3" s="1"/>
  <c r="O35" i="3" s="1"/>
  <c r="L35" i="3"/>
  <c r="M34" i="3"/>
  <c r="L34" i="3"/>
  <c r="M33" i="3"/>
  <c r="N33" i="3" s="1"/>
  <c r="O33" i="3" s="1"/>
  <c r="L33" i="3"/>
  <c r="M32" i="3"/>
  <c r="L32" i="3"/>
  <c r="M31" i="3"/>
  <c r="N31" i="3" s="1"/>
  <c r="O31" i="3" s="1"/>
  <c r="L31" i="3"/>
  <c r="M30" i="3"/>
  <c r="L30" i="3"/>
  <c r="M29" i="3"/>
  <c r="N29" i="3" s="1"/>
  <c r="O29" i="3" s="1"/>
  <c r="L29" i="3"/>
  <c r="M28" i="3"/>
  <c r="L28" i="3"/>
  <c r="M27" i="3"/>
  <c r="N27" i="3" s="1"/>
  <c r="O27" i="3" s="1"/>
  <c r="L27" i="3"/>
  <c r="M26" i="3"/>
  <c r="L26" i="3"/>
  <c r="M25" i="3"/>
  <c r="N25" i="3" s="1"/>
  <c r="O25" i="3" s="1"/>
  <c r="L25" i="3"/>
  <c r="M24" i="3"/>
  <c r="L24" i="3"/>
  <c r="M23" i="3"/>
  <c r="N23" i="3" s="1"/>
  <c r="O23" i="3" s="1"/>
  <c r="L23" i="3"/>
  <c r="M22" i="3"/>
  <c r="L22" i="3"/>
  <c r="M21" i="3"/>
  <c r="N21" i="3" s="1"/>
  <c r="O21" i="3" s="1"/>
  <c r="L21" i="3"/>
  <c r="M20" i="3"/>
  <c r="L20" i="3"/>
  <c r="M19" i="3"/>
  <c r="N19" i="3" s="1"/>
  <c r="O19" i="3" s="1"/>
  <c r="L19" i="3"/>
  <c r="M18" i="3"/>
  <c r="L18" i="3"/>
  <c r="M17" i="3"/>
  <c r="N17" i="3" s="1"/>
  <c r="O17" i="3" s="1"/>
  <c r="L17" i="3"/>
  <c r="M16" i="3"/>
  <c r="L16" i="3"/>
  <c r="M15" i="3"/>
  <c r="N15" i="3" s="1"/>
  <c r="O15" i="3" s="1"/>
  <c r="L15" i="3"/>
  <c r="M14" i="3"/>
  <c r="L14" i="3"/>
  <c r="M13" i="3"/>
  <c r="N13" i="3" s="1"/>
  <c r="O13" i="3" s="1"/>
  <c r="L13" i="3"/>
  <c r="M12" i="3"/>
  <c r="L12" i="3"/>
  <c r="L11" i="3"/>
  <c r="M11" i="3"/>
  <c r="M10" i="3"/>
  <c r="L10" i="3"/>
  <c r="G71" i="3"/>
  <c r="G70" i="3"/>
  <c r="G69" i="3"/>
  <c r="G68" i="3"/>
  <c r="G67" i="3"/>
  <c r="G66" i="3"/>
  <c r="B61" i="3"/>
  <c r="F8" i="3"/>
  <c r="G8" i="3"/>
  <c r="N49" i="3" l="1"/>
  <c r="O49" i="3" s="1"/>
  <c r="N50" i="3"/>
  <c r="O50" i="3" s="1"/>
  <c r="N58" i="3"/>
  <c r="O58" i="3" s="1"/>
  <c r="N44" i="3"/>
  <c r="O44" i="3" s="1"/>
  <c r="N48" i="3"/>
  <c r="O48" i="3" s="1"/>
  <c r="N16" i="3"/>
  <c r="O16" i="3" s="1"/>
  <c r="N28" i="3"/>
  <c r="O28" i="3" s="1"/>
  <c r="N57" i="3"/>
  <c r="O57" i="3" s="1"/>
  <c r="N47" i="3"/>
  <c r="O47" i="3" s="1"/>
  <c r="N32" i="3"/>
  <c r="O32" i="3" s="1"/>
  <c r="N51" i="3"/>
  <c r="O51" i="3" s="1"/>
  <c r="N12" i="3"/>
  <c r="O12" i="3" s="1"/>
  <c r="N24" i="3"/>
  <c r="O24" i="3" s="1"/>
  <c r="N40" i="3"/>
  <c r="O40" i="3" s="1"/>
  <c r="N14" i="3"/>
  <c r="O14" i="3" s="1"/>
  <c r="N22" i="3"/>
  <c r="O22" i="3" s="1"/>
  <c r="N26" i="3"/>
  <c r="O26" i="3" s="1"/>
  <c r="N30" i="3"/>
  <c r="O30" i="3" s="1"/>
  <c r="N34" i="3"/>
  <c r="O34" i="3" s="1"/>
  <c r="N38" i="3"/>
  <c r="O38" i="3" s="1"/>
  <c r="N45" i="3"/>
  <c r="O45" i="3" s="1"/>
  <c r="N55" i="3"/>
  <c r="O55" i="3" s="1"/>
  <c r="N59" i="3"/>
  <c r="O59" i="3" s="1"/>
  <c r="N20" i="3"/>
  <c r="O20" i="3" s="1"/>
  <c r="N36" i="3"/>
  <c r="O36" i="3" s="1"/>
  <c r="N53" i="3"/>
  <c r="O53" i="3" s="1"/>
  <c r="N18" i="3"/>
  <c r="O18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<sst xmlns="http://schemas.openxmlformats.org/spreadsheetml/2006/main" count="481" uniqueCount="305">
  <si>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</si>
  <si>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</si>
  <si>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</si>
  <si>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</si>
  <si>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</si>
  <si>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</si>
  <si>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</si>
  <si>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</si>
  <si>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</si>
  <si>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</si>
  <si>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</si>
  <si>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</si>
  <si>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</si>
  <si>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</si>
  <si>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</si>
  <si>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</si>
  <si>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</si>
  <si>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</si>
  <si>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</si>
  <si>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</si>
  <si>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D1001203</t>
  </si>
  <si>
    <t>3</t>
  </si>
  <si>
    <t>PZTDriverBoard.PrjPCB</t>
  </si>
  <si>
    <t>10</t>
  </si>
  <si>
    <t>Daniel Sigg</t>
  </si>
  <si>
    <t>6/18/2025</t>
  </si>
  <si>
    <t>12:45 PM</t>
  </si>
  <si>
    <t>Quantity</t>
  </si>
  <si>
    <t>Manufacturer 1</t>
  </si>
  <si>
    <t>Yageo Group</t>
  </si>
  <si>
    <t>KEMET</t>
  </si>
  <si>
    <t>Samsung</t>
  </si>
  <si>
    <t>Yageo</t>
  </si>
  <si>
    <t>Murata</t>
  </si>
  <si>
    <t>Panasonic</t>
  </si>
  <si>
    <t>Cornell Dubilier</t>
  </si>
  <si>
    <t>Diodes</t>
  </si>
  <si>
    <t>Comchip</t>
  </si>
  <si>
    <t>Littelfuse</t>
  </si>
  <si>
    <t>onsemi</t>
  </si>
  <si>
    <t>Amphenol</t>
  </si>
  <si>
    <t>Molex</t>
  </si>
  <si>
    <t>TE Connectivity</t>
  </si>
  <si>
    <t>Weidmuller</t>
  </si>
  <si>
    <t>ON Semiconductor / Fairchild</t>
  </si>
  <si>
    <t>Vishay BCcomponents</t>
  </si>
  <si>
    <t>Stackpole Electronics</t>
  </si>
  <si>
    <t>Vishay</t>
  </si>
  <si>
    <t>KOA Speer</t>
  </si>
  <si>
    <t>Keystone Electronics</t>
  </si>
  <si>
    <t>Analog Devices</t>
  </si>
  <si>
    <t>Maxim</t>
  </si>
  <si>
    <t>Analog Devices / Linear Technology</t>
  </si>
  <si>
    <t>Manufacturer Part Number 1</t>
  </si>
  <si>
    <t>CC0805KRX7R9BB104</t>
  </si>
  <si>
    <t>C0805C102J5GACTU</t>
  </si>
  <si>
    <t>CC1206KRX7R9BB104</t>
  </si>
  <si>
    <t>CL31B106KBHNNNE</t>
  </si>
  <si>
    <t>CC0805JRNPO9BN100</t>
  </si>
  <si>
    <t>GCJ43DR72J104KXJ1L</t>
  </si>
  <si>
    <t>GRM43DR7LV224KW01L</t>
  </si>
  <si>
    <t>CC0805JRNPO9BN680</t>
  </si>
  <si>
    <t>GRM31A7U3A680JW31D</t>
  </si>
  <si>
    <t>ECW-F6393HL</t>
  </si>
  <si>
    <t>940C8P47K-F</t>
  </si>
  <si>
    <t>ECW-FD2W105J</t>
  </si>
  <si>
    <t>ECW-FD2J334J</t>
  </si>
  <si>
    <t>B0530W-7-F</t>
  </si>
  <si>
    <t>CDBA340L-HF</t>
  </si>
  <si>
    <t>SMBJ300A</t>
  </si>
  <si>
    <t>SMBJ120A</t>
  </si>
  <si>
    <t>SMAJ20CA</t>
  </si>
  <si>
    <t>MMBZ5229BLT1G</t>
  </si>
  <si>
    <t>BLM21AG102SN1D</t>
  </si>
  <si>
    <t>901-143</t>
  </si>
  <si>
    <t>73205-5033</t>
  </si>
  <si>
    <t>5227161-3</t>
  </si>
  <si>
    <t>1761607-5</t>
  </si>
  <si>
    <t>MMBF4416A</t>
  </si>
  <si>
    <t>ERA-6AEB103V</t>
  </si>
  <si>
    <t>ERA-6AEB4991V</t>
  </si>
  <si>
    <t>ERA-6AEB101V</t>
  </si>
  <si>
    <t>ERA-6AEB4992V</t>
  </si>
  <si>
    <t>ERA-6AEB105V</t>
  </si>
  <si>
    <t>RC1206FR-0720RL</t>
  </si>
  <si>
    <t>MRS25000C4990FRP00</t>
  </si>
  <si>
    <t>JW60ZT0R00</t>
  </si>
  <si>
    <t>ERA-6AEB123V</t>
  </si>
  <si>
    <t>RC1206FR-07100RL</t>
  </si>
  <si>
    <t>MRS25000C3003FCT00</t>
  </si>
  <si>
    <t>CRCW08050000Z0EA-</t>
  </si>
  <si>
    <t>MF1/2CC3322F</t>
  </si>
  <si>
    <t>HVR2500001004FR500</t>
  </si>
  <si>
    <t>ERA-6AEB2101V</t>
  </si>
  <si>
    <t>AD8672ARZ-REEL7</t>
  </si>
  <si>
    <t>MAX4649EKA+T</t>
  </si>
  <si>
    <t>AD829ARZ-REEL</t>
  </si>
  <si>
    <t>OP27GSZ-REEL7</t>
  </si>
  <si>
    <t>LTC2919CMS-5#PBF</t>
  </si>
  <si>
    <t>Supplier 1</t>
  </si>
  <si>
    <t>Digikey</t>
  </si>
  <si>
    <t>DigiKey</t>
  </si>
  <si>
    <t>Mouser</t>
  </si>
  <si>
    <t>Supplier Part Number 1</t>
  </si>
  <si>
    <t>311-1140-1-ND</t>
  </si>
  <si>
    <t>399-C0805C102J5GACTUCT-ND</t>
  </si>
  <si>
    <t>311-1179-1-ND</t>
  </si>
  <si>
    <t>1276-6767-1-ND</t>
  </si>
  <si>
    <t>311-1099-1-ND</t>
  </si>
  <si>
    <t>490-16695-1-ND</t>
  </si>
  <si>
    <t>490-GRM43DR7LV224KW01LCT-ND</t>
  </si>
  <si>
    <t>311-1109-1-ND</t>
  </si>
  <si>
    <t>490-4300-1-ND</t>
  </si>
  <si>
    <t>P12137-ND</t>
  </si>
  <si>
    <t>338-1144-ND</t>
  </si>
  <si>
    <t>PCF1616-ND</t>
  </si>
  <si>
    <t>P122561-ND</t>
  </si>
  <si>
    <t>B0530W-FDICT-ND</t>
  </si>
  <si>
    <t>641-1702-1-ND</t>
  </si>
  <si>
    <t>18-SMBJ300ACT-ND</t>
  </si>
  <si>
    <t>SMBJ120ALFCT-ND</t>
  </si>
  <si>
    <t>576-SMAJ20CA</t>
  </si>
  <si>
    <t>MMBZ5229BLT1GOSCT-ND</t>
  </si>
  <si>
    <t>490-1041-1-ND</t>
  </si>
  <si>
    <t>ARF1206-ND</t>
  </si>
  <si>
    <t>WM9356-ND</t>
  </si>
  <si>
    <t>A32258-ND</t>
  </si>
  <si>
    <t>A31177-ND</t>
  </si>
  <si>
    <t>1148070000-ND</t>
  </si>
  <si>
    <t>512-MMBF4416A</t>
  </si>
  <si>
    <t>P10KDACT-ND</t>
  </si>
  <si>
    <t>P4.99KDACT-ND</t>
  </si>
  <si>
    <t>P100DACT-ND</t>
  </si>
  <si>
    <t>P49.9KDACT-ND</t>
  </si>
  <si>
    <t>P1MDACT-ND</t>
  </si>
  <si>
    <t>311-20.0FRCT-ND</t>
  </si>
  <si>
    <t>PPC499ZCT-ND</t>
  </si>
  <si>
    <t>JW60ZT0R00CT-ND</t>
  </si>
  <si>
    <t>P12KDACT-ND</t>
  </si>
  <si>
    <t>311-100FRCT-ND</t>
  </si>
  <si>
    <t>BC4606CT-ND</t>
  </si>
  <si>
    <t>541-0.0ACT-ND</t>
  </si>
  <si>
    <t>660-MF1/2CC3322F</t>
  </si>
  <si>
    <t>PPCQF1.0MCT-ND</t>
  </si>
  <si>
    <t>P2.1KDACT-ND</t>
  </si>
  <si>
    <t>36-5009-ND</t>
  </si>
  <si>
    <t>36-5005-ND</t>
  </si>
  <si>
    <t>36-5006-ND</t>
  </si>
  <si>
    <t>36-5007-ND</t>
  </si>
  <si>
    <t>505-AD8672ARZ-REEL7CT-ND</t>
  </si>
  <si>
    <t>MAX4649EKA+TCT-ND</t>
  </si>
  <si>
    <t>505-AD829ARZ-REELCT-ND</t>
  </si>
  <si>
    <t>ED4864-12-ND</t>
  </si>
  <si>
    <t>OP27GSZ-REEL7CT-ND</t>
  </si>
  <si>
    <t>LTC2919CMS-5#PBF-ND</t>
  </si>
  <si>
    <t>Name</t>
  </si>
  <si>
    <t>100n</t>
  </si>
  <si>
    <t>1n</t>
  </si>
  <si>
    <t>10u</t>
  </si>
  <si>
    <t>10p</t>
  </si>
  <si>
    <t>1u</t>
  </si>
  <si>
    <t>68p</t>
  </si>
  <si>
    <t>39n</t>
  </si>
  <si>
    <t>470n</t>
  </si>
  <si>
    <t>330n</t>
  </si>
  <si>
    <t>DIODE</t>
  </si>
  <si>
    <t>shottky diode</t>
  </si>
  <si>
    <t>zener diode</t>
  </si>
  <si>
    <t>Zener diode</t>
  </si>
  <si>
    <t>MPZ1608D300B</t>
  </si>
  <si>
    <t>SMA</t>
  </si>
  <si>
    <t>TNC</t>
  </si>
  <si>
    <t>BNC</t>
  </si>
  <si>
    <t>09 18 514 7323</t>
  </si>
  <si>
    <t>TBlock_5.08_3</t>
  </si>
  <si>
    <t>10K</t>
  </si>
  <si>
    <t>4.99K</t>
  </si>
  <si>
    <t>100</t>
  </si>
  <si>
    <t>49.9K</t>
  </si>
  <si>
    <t>1M</t>
  </si>
  <si>
    <t>20</t>
  </si>
  <si>
    <t>499</t>
  </si>
  <si>
    <t>0</t>
  </si>
  <si>
    <t>12K</t>
  </si>
  <si>
    <t>300K</t>
  </si>
  <si>
    <t>33.2K</t>
  </si>
  <si>
    <t>2.10K</t>
  </si>
  <si>
    <t>Testpoint</t>
  </si>
  <si>
    <t>AD8672AR</t>
  </si>
  <si>
    <t>MAX4649</t>
  </si>
  <si>
    <t>AD829JR</t>
  </si>
  <si>
    <t>PA90</t>
  </si>
  <si>
    <t>OP27</t>
  </si>
  <si>
    <t>LTC2919</t>
  </si>
  <si>
    <t>Description</t>
  </si>
  <si>
    <t>Capacitor, surface mount</t>
  </si>
  <si>
    <t>Film Capacitor, axial lead</t>
  </si>
  <si>
    <t>Single diode</t>
  </si>
  <si>
    <t>Single shottky diode</t>
  </si>
  <si>
    <t>Single zener diode</t>
  </si>
  <si>
    <t>TVS</t>
  </si>
  <si>
    <t>Single zener diode in SOT23 package</t>
  </si>
  <si>
    <t>ferrite bead, 20Ohm at 1GHz, 603</t>
  </si>
  <si>
    <t>SMA, PCB Mount, Right Angle</t>
  </si>
  <si>
    <t>BNC, PCB Mount, Right Angle</t>
  </si>
  <si>
    <t>Flat Cable Connector (IDC), Low-Profile Male Header, Angled Solder Pin, 14 Contacts, Performance Level 3</t>
  </si>
  <si>
    <t>Terminal block, 5.08mm, 3-Pin</t>
  </si>
  <si>
    <t>N-channel Silicon Junction Field-effect Transistor</t>
  </si>
  <si>
    <t>Resistor, surface mount</t>
  </si>
  <si>
    <t>Resistor</t>
  </si>
  <si>
    <t>Testpoint, yellow</t>
  </si>
  <si>
    <t>Testpoint, red</t>
  </si>
  <si>
    <t>Testpoint, black</t>
  </si>
  <si>
    <t>Testpoint, white</t>
  </si>
  <si>
    <t>Dual, 9MHz Precision Operational Amplifier</t>
  </si>
  <si>
    <t>Single SPDT analog switch</t>
  </si>
  <si>
    <t>High-Speed, Low-Noise Video Operational Amplifier</t>
  </si>
  <si>
    <t>Socket 12 pin for HV Power Op Amp</t>
  </si>
  <si>
    <t>Precision Triple/Dual Input UV, OV and Negative Voltage Monitor</t>
  </si>
  <si>
    <t>Designator</t>
  </si>
  <si>
    <t>C1, C3, C4, C9, C13, C16, C17, C26, C27, C28, C30, C40, C41, C43, C48, C50, C52</t>
  </si>
  <si>
    <t>C2, C7, C8, C15, C18, C23, C37, C46</t>
  </si>
  <si>
    <t>C5, C10, C11, C14</t>
  </si>
  <si>
    <t>C6, C12</t>
  </si>
  <si>
    <t>C19, C42</t>
  </si>
  <si>
    <t>C21, C35</t>
  </si>
  <si>
    <t>C22, C36</t>
  </si>
  <si>
    <t>C25, C32, C38, C39</t>
  </si>
  <si>
    <t>C33</t>
  </si>
  <si>
    <t>C34</t>
  </si>
  <si>
    <t>C44, C45</t>
  </si>
  <si>
    <t>C47, C51</t>
  </si>
  <si>
    <t>C49</t>
  </si>
  <si>
    <t>D2, D3</t>
  </si>
  <si>
    <t>D4, D6</t>
  </si>
  <si>
    <t>D9</t>
  </si>
  <si>
    <t>D10</t>
  </si>
  <si>
    <t>D11</t>
  </si>
  <si>
    <t>D12, D13</t>
  </si>
  <si>
    <t>FR1, FR2</t>
  </si>
  <si>
    <t>J1</t>
  </si>
  <si>
    <t>J2</t>
  </si>
  <si>
    <t>J3</t>
  </si>
  <si>
    <t>P1</t>
  </si>
  <si>
    <t>P2</t>
  </si>
  <si>
    <t>Q1, Q2, Q3, Q4</t>
  </si>
  <si>
    <t>R1, R3, R5, R6, R42</t>
  </si>
  <si>
    <t>R2, R9, R15, R18, R19, R24, R29, R32, R51</t>
  </si>
  <si>
    <t>R4, R8, R12, R39</t>
  </si>
  <si>
    <t>R7, R10, R30, R40, R41, R44, R45</t>
  </si>
  <si>
    <t>R13, R14, R31</t>
  </si>
  <si>
    <t>R20</t>
  </si>
  <si>
    <t>R22</t>
  </si>
  <si>
    <t>R23, R43, R52</t>
  </si>
  <si>
    <t>R26, R36</t>
  </si>
  <si>
    <t>R28</t>
  </si>
  <si>
    <t>R33, R34</t>
  </si>
  <si>
    <t>R35, R53</t>
  </si>
  <si>
    <t>R37, R38</t>
  </si>
  <si>
    <t>R46, R50</t>
  </si>
  <si>
    <t>R47</t>
  </si>
  <si>
    <t>TP1, TP2, TP3, TP4, TP5</t>
  </si>
  <si>
    <t>TP6</t>
  </si>
  <si>
    <t>TP7, TP9</t>
  </si>
  <si>
    <t>TP8</t>
  </si>
  <si>
    <t>U1, U3</t>
  </si>
  <si>
    <t>U2</t>
  </si>
  <si>
    <t>U4, U6, U7, U8</t>
  </si>
  <si>
    <t>U5</t>
  </si>
  <si>
    <t>U9</t>
  </si>
  <si>
    <t>U10</t>
  </si>
  <si>
    <t>Footprint</t>
  </si>
  <si>
    <t>CC2013-0805</t>
  </si>
  <si>
    <t>CC3216-1206</t>
  </si>
  <si>
    <t>CL4532-1812</t>
  </si>
  <si>
    <t>CC5664-2225</t>
  </si>
  <si>
    <t>CA-ALL5</t>
  </si>
  <si>
    <t>CA-ALL9</t>
  </si>
  <si>
    <t>CA-ALL2</t>
  </si>
  <si>
    <t>DO-SOD123</t>
  </si>
  <si>
    <t>DO-SMA</t>
  </si>
  <si>
    <t>DO-SMB</t>
  </si>
  <si>
    <t>SO-G3/C2.25</t>
  </si>
  <si>
    <t>CL2013-0805</t>
  </si>
  <si>
    <t>SMA-RA</t>
  </si>
  <si>
    <t>BNC_SMA</t>
  </si>
  <si>
    <t>918514x323</t>
  </si>
  <si>
    <t>TBLOCK-5.08-3</t>
  </si>
  <si>
    <t>CR2012-0805</t>
  </si>
  <si>
    <t>CR3216-1206</t>
  </si>
  <si>
    <t>AXIAL-0.6</t>
  </si>
  <si>
    <t>AXIAL-0.6, AXIAL-0.4</t>
  </si>
  <si>
    <t>TP1-YLW</t>
  </si>
  <si>
    <t>TP1-RED</t>
  </si>
  <si>
    <t>TP1-BLK</t>
  </si>
  <si>
    <t>TP1-WHT</t>
  </si>
  <si>
    <t>SO-G8</t>
  </si>
  <si>
    <t>SSO-G8/NARROW</t>
  </si>
  <si>
    <t>PA98</t>
  </si>
  <si>
    <t>MSOP10</t>
  </si>
  <si>
    <t>Assembly Type</t>
  </si>
  <si>
    <t/>
  </si>
  <si>
    <t>TH</t>
  </si>
  <si>
    <t>Mill-Max</t>
  </si>
  <si>
    <t>315-93-112-41-003000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</si>
</sst>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22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61" totalsRowShown="0" headerRowDxfId="21" dataDxfId="19" headerRowBorderDxfId="20" tableBorderDxfId="18">
  <autoFilter ref="B9:O61" xr:uid="{00000000-0009-0000-0100-000002000000}"/>
  <tableColumns count="14">
    <tableColumn id="1" xr3:uid="{00000000-0010-0000-0000-000001000000}" name="Quantity" dataDxfId="17"/>
    <tableColumn id="13" xr3:uid="{E63D2325-985C-42DA-B8D6-1DEE83CC2C12}" name="Manufacturer 1" dataDxfId="16"/>
    <tableColumn id="14" xr3:uid="{99B152BA-3BCD-4256-B3DD-EB9E28C53A85}" name="Manufacturer Part Number 1" dataDxfId="15"/>
    <tableColumn id="2" xr3:uid="{00000000-0010-0000-0000-000002000000}" name="Supplier 1" dataDxfId="14"/>
    <tableColumn id="3" xr3:uid="{00000000-0010-0000-0000-000003000000}" name="Supplier Part Number 1" dataDxfId="13"/>
    <tableColumn id="4" xr3:uid="{00000000-0010-0000-0000-000004000000}" name="Name" dataDxfId="12"/>
    <tableColumn id="5" xr3:uid="{00000000-0010-0000-0000-000005000000}" name="Description" dataDxfId="11"/>
    <tableColumn id="6" xr3:uid="{00000000-0010-0000-0000-000006000000}" name="Designator" dataDxfId="10"/>
    <tableColumn id="7" xr3:uid="{00000000-0010-0000-0000-000007000000}" name="Footprint" dataDxfId="9"/>
    <tableColumn id="8" xr3:uid="{00000000-0010-0000-0000-000008000000}" name="Assembly Type" dataDxfId="8"/>
    <tableColumn id="9" xr3:uid="{00000000-0010-0000-0000-000009000000}" name="Extra" dataDxfId="7"/>
    <tableColumn id="10" xr3:uid="{00000000-0010-0000-0000-00000A000000}" name="Excess" dataDxfId="6"/>
    <tableColumn id="11" xr3:uid="{00000000-0010-0000-0000-00000B000000}" name="Add" dataDxfId="5"/>
    <tableColumn id="12" xr3:uid="{00000000-0010-0000-0000-00000C000000}" name="Quantity to Order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topLeftCell="A16" zoomScaleNormal="100" workbookViewId="0">
      <selection activeCell="F37" sqref="F37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2.453125" style="3" customWidth="1"/>
    <col min="6" max="6" width="27.90625" style="1" customWidth="1"/>
    <col min="7" max="7" width="18" style="1" customWidth="1"/>
    <col min="8" max="8" width="30.7265625" style="1" customWidth="1"/>
    <col min="9" max="9" width="38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45826</v>
      </c>
      <c r="G8" s="59">
        <f ca="1">NOW()</f>
        <v>45826.541923032404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53</v>
      </c>
      <c r="E9" s="40" t="s">
        <v>99</v>
      </c>
      <c r="F9" s="40" t="s">
        <v>103</v>
      </c>
      <c r="G9" s="40" t="s">
        <v>155</v>
      </c>
      <c r="H9" s="40" t="s">
        <v>194</v>
      </c>
      <c r="I9" s="41" t="s">
        <v>219</v>
      </c>
      <c r="J9" s="40" t="s">
        <v>271</v>
      </c>
      <c r="K9" s="40" t="s">
        <v>300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17</v>
      </c>
      <c r="C10" s="46" t="s">
        <v>29</v>
      </c>
      <c r="D10" s="46" t="s">
        <v>54</v>
      </c>
      <c r="E10" s="47" t="s">
        <v>100</v>
      </c>
      <c r="F10" s="47" t="s">
        <v>104</v>
      </c>
      <c r="G10" s="47" t="s">
        <v>156</v>
      </c>
      <c r="H10" s="47" t="s">
        <v>195</v>
      </c>
      <c r="I10" s="47" t="s">
        <v>220</v>
      </c>
      <c r="J10" s="47" t="s">
        <v>272</v>
      </c>
      <c r="K10" s="47" t="s">
        <v>301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9</v>
      </c>
      <c r="O10" s="42">
        <f>+IF(OR(LEFT(I10&amp;"",1)="C",LEFT(I10&amp;"",1)="R"),ROUNDUP($K$4*B10+N10,-1),$K$4*B10+N10)</f>
        <v>180</v>
      </c>
    </row>
    <row r="11" spans="1:15" s="2" customFormat="1" ht="13" x14ac:dyDescent="0.25">
      <c r="A11" s="13"/>
      <c r="B11" s="46">
        <v>8</v>
      </c>
      <c r="C11" s="46" t="s">
        <v>30</v>
      </c>
      <c r="D11" s="46" t="s">
        <v>55</v>
      </c>
      <c r="E11" s="47" t="s">
        <v>100</v>
      </c>
      <c r="F11" s="47" t="s">
        <v>105</v>
      </c>
      <c r="G11" s="47" t="s">
        <v>157</v>
      </c>
      <c r="H11" s="47" t="s">
        <v>195</v>
      </c>
      <c r="I11" s="47" t="s">
        <v>221</v>
      </c>
      <c r="J11" s="47" t="s">
        <v>272</v>
      </c>
      <c r="K11" s="47" t="s">
        <v>301</v>
      </c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90</v>
      </c>
    </row>
    <row r="12" spans="1:15" s="2" customFormat="1" ht="13" x14ac:dyDescent="0.25">
      <c r="A12" s="13"/>
      <c r="B12" s="46">
        <v>4</v>
      </c>
      <c r="C12" s="46" t="s">
        <v>29</v>
      </c>
      <c r="D12" s="46" t="s">
        <v>56</v>
      </c>
      <c r="E12" s="47" t="s">
        <v>100</v>
      </c>
      <c r="F12" s="47" t="s">
        <v>106</v>
      </c>
      <c r="G12" s="47" t="s">
        <v>156</v>
      </c>
      <c r="H12" s="47" t="s">
        <v>195</v>
      </c>
      <c r="I12" s="47" t="s">
        <v>222</v>
      </c>
      <c r="J12" s="47" t="s">
        <v>273</v>
      </c>
      <c r="K12" s="47" t="s">
        <v>301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50</v>
      </c>
    </row>
    <row r="13" spans="1:15" s="2" customFormat="1" ht="13" x14ac:dyDescent="0.25">
      <c r="A13" s="13"/>
      <c r="B13" s="46">
        <v>2</v>
      </c>
      <c r="C13" s="46" t="s">
        <v>31</v>
      </c>
      <c r="D13" s="46" t="s">
        <v>57</v>
      </c>
      <c r="E13" s="47" t="s">
        <v>101</v>
      </c>
      <c r="F13" s="47" t="s">
        <v>107</v>
      </c>
      <c r="G13" s="47" t="s">
        <v>158</v>
      </c>
      <c r="H13" s="47" t="s">
        <v>195</v>
      </c>
      <c r="I13" s="47" t="s">
        <v>223</v>
      </c>
      <c r="J13" s="47" t="s">
        <v>273</v>
      </c>
      <c r="K13" s="47" t="s">
        <v>301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30</v>
      </c>
    </row>
    <row r="14" spans="1:15" s="2" customFormat="1" ht="13" x14ac:dyDescent="0.25">
      <c r="A14" s="13"/>
      <c r="B14" s="46">
        <v>2</v>
      </c>
      <c r="C14" s="46" t="s">
        <v>32</v>
      </c>
      <c r="D14" s="46" t="s">
        <v>58</v>
      </c>
      <c r="E14" s="47" t="s">
        <v>100</v>
      </c>
      <c r="F14" s="47" t="s">
        <v>108</v>
      </c>
      <c r="G14" s="47" t="s">
        <v>159</v>
      </c>
      <c r="H14" s="47" t="s">
        <v>195</v>
      </c>
      <c r="I14" s="47" t="s">
        <v>224</v>
      </c>
      <c r="J14" s="47" t="s">
        <v>272</v>
      </c>
      <c r="K14" s="47" t="s">
        <v>301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13" x14ac:dyDescent="0.25">
      <c r="A15" s="13"/>
      <c r="B15" s="46">
        <v>2</v>
      </c>
      <c r="C15" s="46" t="s">
        <v>33</v>
      </c>
      <c r="D15" s="46" t="s">
        <v>59</v>
      </c>
      <c r="E15" s="47" t="s">
        <v>100</v>
      </c>
      <c r="F15" s="47" t="s">
        <v>109</v>
      </c>
      <c r="G15" s="47" t="s">
        <v>156</v>
      </c>
      <c r="H15" s="47" t="s">
        <v>195</v>
      </c>
      <c r="I15" s="47" t="s">
        <v>225</v>
      </c>
      <c r="J15" s="47" t="s">
        <v>274</v>
      </c>
      <c r="K15" s="47" t="s">
        <v>301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30</v>
      </c>
    </row>
    <row r="16" spans="1:15" s="2" customFormat="1" ht="13" x14ac:dyDescent="0.25">
      <c r="A16" s="13"/>
      <c r="B16" s="46">
        <v>2</v>
      </c>
      <c r="C16" s="46" t="s">
        <v>33</v>
      </c>
      <c r="D16" s="46" t="s">
        <v>60</v>
      </c>
      <c r="E16" s="47" t="s">
        <v>100</v>
      </c>
      <c r="F16" s="47" t="s">
        <v>110</v>
      </c>
      <c r="G16" s="47" t="s">
        <v>160</v>
      </c>
      <c r="H16" s="47" t="s">
        <v>195</v>
      </c>
      <c r="I16" s="47" t="s">
        <v>226</v>
      </c>
      <c r="J16" s="47" t="s">
        <v>275</v>
      </c>
      <c r="K16" s="47" t="s">
        <v>301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4</v>
      </c>
      <c r="C17" s="46" t="s">
        <v>32</v>
      </c>
      <c r="D17" s="46" t="s">
        <v>61</v>
      </c>
      <c r="E17" s="47" t="s">
        <v>100</v>
      </c>
      <c r="F17" s="47" t="s">
        <v>111</v>
      </c>
      <c r="G17" s="47" t="s">
        <v>161</v>
      </c>
      <c r="H17" s="47" t="s">
        <v>195</v>
      </c>
      <c r="I17" s="47" t="s">
        <v>227</v>
      </c>
      <c r="J17" s="47" t="s">
        <v>272</v>
      </c>
      <c r="K17" s="47" t="s">
        <v>301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50</v>
      </c>
    </row>
    <row r="18" spans="1:15" s="2" customFormat="1" ht="13" x14ac:dyDescent="0.25">
      <c r="A18" s="13"/>
      <c r="B18" s="46">
        <v>1</v>
      </c>
      <c r="C18" s="46" t="s">
        <v>33</v>
      </c>
      <c r="D18" s="46" t="s">
        <v>62</v>
      </c>
      <c r="E18" s="47" t="s">
        <v>100</v>
      </c>
      <c r="F18" s="47" t="s">
        <v>112</v>
      </c>
      <c r="G18" s="47" t="s">
        <v>161</v>
      </c>
      <c r="H18" s="47" t="s">
        <v>195</v>
      </c>
      <c r="I18" s="47" t="s">
        <v>228</v>
      </c>
      <c r="J18" s="47" t="s">
        <v>273</v>
      </c>
      <c r="K18" s="47"/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</v>
      </c>
      <c r="C19" s="46" t="s">
        <v>34</v>
      </c>
      <c r="D19" s="46" t="s">
        <v>63</v>
      </c>
      <c r="E19" s="47" t="s">
        <v>100</v>
      </c>
      <c r="F19" s="47" t="s">
        <v>113</v>
      </c>
      <c r="G19" s="47" t="s">
        <v>162</v>
      </c>
      <c r="H19" s="47" t="s">
        <v>196</v>
      </c>
      <c r="I19" s="47" t="s">
        <v>229</v>
      </c>
      <c r="J19" s="47" t="s">
        <v>276</v>
      </c>
      <c r="K19" s="47" t="s">
        <v>302</v>
      </c>
      <c r="L19" s="49">
        <f t="shared" ref="L19" si="16">+IF(OR(K19="BGA",K19="FP",K19="TH"),1,IF($K$4*B19&lt;100,5,0))</f>
        <v>1</v>
      </c>
      <c r="M19" s="48">
        <f t="shared" ref="M19" si="17">+IF(AND(K19="",$K$4*B19&gt;100),0.05,0)</f>
        <v>0</v>
      </c>
      <c r="N19" s="49">
        <f t="shared" ref="N19" si="18">+ROUNDUP($K$4*B19*M19+L19,0)</f>
        <v>1</v>
      </c>
      <c r="O19" s="42">
        <f t="shared" ref="O19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2</v>
      </c>
      <c r="C20" s="46" t="s">
        <v>35</v>
      </c>
      <c r="D20" s="46" t="s">
        <v>64</v>
      </c>
      <c r="E20" s="47" t="s">
        <v>100</v>
      </c>
      <c r="F20" s="47" t="s">
        <v>114</v>
      </c>
      <c r="G20" s="47" t="s">
        <v>163</v>
      </c>
      <c r="H20" s="47" t="s">
        <v>196</v>
      </c>
      <c r="I20" s="47" t="s">
        <v>230</v>
      </c>
      <c r="J20" s="47" t="s">
        <v>277</v>
      </c>
      <c r="K20" s="47" t="s">
        <v>302</v>
      </c>
      <c r="L20" s="49">
        <f>+IF(OR(K20="BGA",K20="FP",K20="TH"),1,IF($K$4*B20&lt;100,5,0))</f>
        <v>1</v>
      </c>
      <c r="M20" s="48">
        <f>+IF(AND(K20="",$K$4*B20&gt;100),0.05,0)</f>
        <v>0</v>
      </c>
      <c r="N20" s="49">
        <f>+ROUNDUP($K$4*B20*M20+L20,0)</f>
        <v>1</v>
      </c>
      <c r="O20" s="42">
        <f>+IF(OR(LEFT(I20&amp;"",1)="C",LEFT(I20&amp;"",1)="R"),ROUNDUP($K$4*B20+N20,-1),$K$4*B20+N20)</f>
        <v>30</v>
      </c>
    </row>
    <row r="21" spans="1:15" s="2" customFormat="1" ht="13" x14ac:dyDescent="0.25">
      <c r="A21" s="13"/>
      <c r="B21" s="46">
        <v>2</v>
      </c>
      <c r="C21" s="46" t="s">
        <v>34</v>
      </c>
      <c r="D21" s="46" t="s">
        <v>65</v>
      </c>
      <c r="E21" s="47" t="s">
        <v>100</v>
      </c>
      <c r="F21" s="47" t="s">
        <v>115</v>
      </c>
      <c r="G21" s="47" t="s">
        <v>160</v>
      </c>
      <c r="H21" s="47" t="s">
        <v>196</v>
      </c>
      <c r="I21" s="47" t="s">
        <v>231</v>
      </c>
      <c r="J21" s="47" t="s">
        <v>278</v>
      </c>
      <c r="K21" s="47" t="s">
        <v>302</v>
      </c>
      <c r="L21" s="49">
        <f t="shared" ref="L21" si="20">+IF(OR(K21="BGA",K21="FP",K21="TH"),1,IF($K$4*B21&lt;100,5,0))</f>
        <v>1</v>
      </c>
      <c r="M21" s="48">
        <f t="shared" ref="M21" si="21">+IF(AND(K21="",$K$4*B21&gt;100),0.05,0)</f>
        <v>0</v>
      </c>
      <c r="N21" s="49">
        <f t="shared" ref="N21" si="22">+ROUNDUP($K$4*B21*M21+L21,0)</f>
        <v>1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1</v>
      </c>
      <c r="C22" s="46" t="s">
        <v>34</v>
      </c>
      <c r="D22" s="46" t="s">
        <v>66</v>
      </c>
      <c r="E22" s="47" t="s">
        <v>100</v>
      </c>
      <c r="F22" s="47" t="s">
        <v>116</v>
      </c>
      <c r="G22" s="47" t="s">
        <v>164</v>
      </c>
      <c r="H22" s="47" t="s">
        <v>196</v>
      </c>
      <c r="I22" s="47" t="s">
        <v>232</v>
      </c>
      <c r="J22" s="47" t="s">
        <v>278</v>
      </c>
      <c r="K22" s="47" t="s">
        <v>302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2</v>
      </c>
      <c r="C23" s="46" t="s">
        <v>36</v>
      </c>
      <c r="D23" s="46" t="s">
        <v>67</v>
      </c>
      <c r="E23" s="47" t="s">
        <v>100</v>
      </c>
      <c r="F23" s="47" t="s">
        <v>117</v>
      </c>
      <c r="G23" s="47" t="s">
        <v>165</v>
      </c>
      <c r="H23" s="47" t="s">
        <v>197</v>
      </c>
      <c r="I23" s="47" t="s">
        <v>233</v>
      </c>
      <c r="J23" s="47" t="s">
        <v>279</v>
      </c>
      <c r="K23" s="47" t="s">
        <v>301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25</v>
      </c>
    </row>
    <row r="24" spans="1:15" s="2" customFormat="1" ht="13" x14ac:dyDescent="0.25">
      <c r="A24" s="13"/>
      <c r="B24" s="46">
        <v>2</v>
      </c>
      <c r="C24" s="46" t="s">
        <v>37</v>
      </c>
      <c r="D24" s="46" t="s">
        <v>68</v>
      </c>
      <c r="E24" s="47" t="s">
        <v>100</v>
      </c>
      <c r="F24" s="47" t="s">
        <v>118</v>
      </c>
      <c r="G24" s="47" t="s">
        <v>166</v>
      </c>
      <c r="H24" s="47" t="s">
        <v>198</v>
      </c>
      <c r="I24" s="47" t="s">
        <v>234</v>
      </c>
      <c r="J24" s="47" t="s">
        <v>280</v>
      </c>
      <c r="K24" s="47" t="s">
        <v>301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25</v>
      </c>
    </row>
    <row r="25" spans="1:15" s="2" customFormat="1" ht="13" x14ac:dyDescent="0.25">
      <c r="A25" s="13"/>
      <c r="B25" s="46">
        <v>1</v>
      </c>
      <c r="C25" s="46" t="s">
        <v>38</v>
      </c>
      <c r="D25" s="46" t="s">
        <v>69</v>
      </c>
      <c r="E25" s="47" t="s">
        <v>100</v>
      </c>
      <c r="F25" s="47" t="s">
        <v>119</v>
      </c>
      <c r="G25" s="47" t="s">
        <v>167</v>
      </c>
      <c r="H25" s="47" t="s">
        <v>199</v>
      </c>
      <c r="I25" s="47" t="s">
        <v>235</v>
      </c>
      <c r="J25" s="47" t="s">
        <v>281</v>
      </c>
      <c r="K25" s="47"/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15</v>
      </c>
    </row>
    <row r="26" spans="1:15" s="2" customFormat="1" ht="13" x14ac:dyDescent="0.25">
      <c r="A26" s="13"/>
      <c r="B26" s="46">
        <v>1</v>
      </c>
      <c r="C26" s="46" t="s">
        <v>38</v>
      </c>
      <c r="D26" s="46" t="s">
        <v>70</v>
      </c>
      <c r="E26" s="47" t="s">
        <v>100</v>
      </c>
      <c r="F26" s="47" t="s">
        <v>120</v>
      </c>
      <c r="G26" s="47" t="s">
        <v>167</v>
      </c>
      <c r="H26" s="47" t="s">
        <v>199</v>
      </c>
      <c r="I26" s="47" t="s">
        <v>236</v>
      </c>
      <c r="J26" s="47" t="s">
        <v>281</v>
      </c>
      <c r="K26" s="47"/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15</v>
      </c>
    </row>
    <row r="27" spans="1:15" s="2" customFormat="1" ht="13" x14ac:dyDescent="0.25">
      <c r="A27" s="13"/>
      <c r="B27" s="46">
        <v>1</v>
      </c>
      <c r="C27" s="46" t="s">
        <v>38</v>
      </c>
      <c r="D27" s="46" t="s">
        <v>71</v>
      </c>
      <c r="E27" s="47" t="s">
        <v>102</v>
      </c>
      <c r="F27" s="47" t="s">
        <v>121</v>
      </c>
      <c r="G27" s="47" t="s">
        <v>167</v>
      </c>
      <c r="H27" s="47" t="s">
        <v>200</v>
      </c>
      <c r="I27" s="47" t="s">
        <v>237</v>
      </c>
      <c r="J27" s="47" t="s">
        <v>280</v>
      </c>
      <c r="K27" s="47"/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15</v>
      </c>
    </row>
    <row r="28" spans="1:15" s="2" customFormat="1" ht="13" x14ac:dyDescent="0.25">
      <c r="A28" s="13"/>
      <c r="B28" s="46">
        <v>2</v>
      </c>
      <c r="C28" s="46" t="s">
        <v>39</v>
      </c>
      <c r="D28" s="46" t="s">
        <v>72</v>
      </c>
      <c r="E28" s="47" t="s">
        <v>100</v>
      </c>
      <c r="F28" s="47" t="s">
        <v>122</v>
      </c>
      <c r="G28" s="47" t="s">
        <v>168</v>
      </c>
      <c r="H28" s="47" t="s">
        <v>201</v>
      </c>
      <c r="I28" s="47" t="s">
        <v>238</v>
      </c>
      <c r="J28" s="47" t="s">
        <v>282</v>
      </c>
      <c r="K28" s="47" t="s">
        <v>301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25</v>
      </c>
    </row>
    <row r="29" spans="1:15" s="2" customFormat="1" ht="13" x14ac:dyDescent="0.25">
      <c r="A29" s="13"/>
      <c r="B29" s="46">
        <v>2</v>
      </c>
      <c r="C29" s="46" t="s">
        <v>33</v>
      </c>
      <c r="D29" s="46" t="s">
        <v>73</v>
      </c>
      <c r="E29" s="47" t="s">
        <v>100</v>
      </c>
      <c r="F29" s="47" t="s">
        <v>123</v>
      </c>
      <c r="G29" s="47" t="s">
        <v>169</v>
      </c>
      <c r="H29" s="47" t="s">
        <v>202</v>
      </c>
      <c r="I29" s="47" t="s">
        <v>239</v>
      </c>
      <c r="J29" s="47" t="s">
        <v>283</v>
      </c>
      <c r="K29" s="47" t="s">
        <v>301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25</v>
      </c>
    </row>
    <row r="30" spans="1:15" s="2" customFormat="1" ht="13" x14ac:dyDescent="0.25">
      <c r="A30" s="13"/>
      <c r="B30" s="46">
        <v>1</v>
      </c>
      <c r="C30" s="46" t="s">
        <v>40</v>
      </c>
      <c r="D30" s="46" t="s">
        <v>74</v>
      </c>
      <c r="E30" s="47" t="s">
        <v>100</v>
      </c>
      <c r="F30" s="47" t="s">
        <v>124</v>
      </c>
      <c r="G30" s="47" t="s">
        <v>170</v>
      </c>
      <c r="H30" s="47" t="s">
        <v>203</v>
      </c>
      <c r="I30" s="47" t="s">
        <v>240</v>
      </c>
      <c r="J30" s="47" t="s">
        <v>284</v>
      </c>
      <c r="K30" s="47" t="s">
        <v>302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11</v>
      </c>
    </row>
    <row r="31" spans="1:15" s="2" customFormat="1" ht="13" x14ac:dyDescent="0.25">
      <c r="A31" s="13"/>
      <c r="B31" s="46">
        <v>1</v>
      </c>
      <c r="C31" s="46" t="s">
        <v>41</v>
      </c>
      <c r="D31" s="46" t="s">
        <v>75</v>
      </c>
      <c r="E31" s="47" t="s">
        <v>100</v>
      </c>
      <c r="F31" s="47" t="s">
        <v>125</v>
      </c>
      <c r="G31" s="47" t="s">
        <v>171</v>
      </c>
      <c r="H31" s="47" t="s">
        <v>204</v>
      </c>
      <c r="I31" s="47" t="s">
        <v>241</v>
      </c>
      <c r="J31" s="47" t="s">
        <v>285</v>
      </c>
      <c r="K31" s="47" t="s">
        <v>302</v>
      </c>
      <c r="L31" s="49">
        <f t="shared" ref="L31" si="40">+IF(OR(K31="BGA",K31="FP",K31="TH"),1,IF($K$4*B31&lt;100,5,0))</f>
        <v>1</v>
      </c>
      <c r="M31" s="48">
        <f t="shared" ref="M31" si="41">+IF(AND(K31="",$K$4*B31&gt;100),0.05,0)</f>
        <v>0</v>
      </c>
      <c r="N31" s="49">
        <f t="shared" ref="N31" si="42">+ROUNDUP($K$4*B31*M31+L31,0)</f>
        <v>1</v>
      </c>
      <c r="O31" s="42">
        <f t="shared" ref="O31" si="43">+IF(OR(LEFT(I31&amp;"",1)="C",LEFT(I31&amp;"",1)="R"),ROUNDUP($K$4*B31+N31,-1),$K$4*B31+N31)</f>
        <v>11</v>
      </c>
    </row>
    <row r="32" spans="1:15" s="2" customFormat="1" ht="13" x14ac:dyDescent="0.25">
      <c r="A32" s="13"/>
      <c r="B32" s="46">
        <v>1</v>
      </c>
      <c r="C32" s="46" t="s">
        <v>42</v>
      </c>
      <c r="D32" s="46" t="s">
        <v>76</v>
      </c>
      <c r="E32" s="47" t="s">
        <v>100</v>
      </c>
      <c r="F32" s="47" t="s">
        <v>126</v>
      </c>
      <c r="G32" s="47" t="s">
        <v>172</v>
      </c>
      <c r="H32" s="47" t="s">
        <v>204</v>
      </c>
      <c r="I32" s="47" t="s">
        <v>242</v>
      </c>
      <c r="J32" s="47" t="s">
        <v>285</v>
      </c>
      <c r="K32" s="47" t="s">
        <v>302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11</v>
      </c>
    </row>
    <row r="33" spans="1:15" s="2" customFormat="1" ht="30.5" x14ac:dyDescent="0.25">
      <c r="A33" s="13"/>
      <c r="B33" s="46">
        <v>1</v>
      </c>
      <c r="C33" s="46" t="s">
        <v>42</v>
      </c>
      <c r="D33" s="46" t="s">
        <v>77</v>
      </c>
      <c r="E33" s="47" t="s">
        <v>100</v>
      </c>
      <c r="F33" s="47" t="s">
        <v>127</v>
      </c>
      <c r="G33" s="47" t="s">
        <v>173</v>
      </c>
      <c r="H33" s="47" t="s">
        <v>205</v>
      </c>
      <c r="I33" s="47" t="s">
        <v>243</v>
      </c>
      <c r="J33" s="47" t="s">
        <v>286</v>
      </c>
      <c r="K33" s="47" t="s">
        <v>302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11</v>
      </c>
    </row>
    <row r="34" spans="1:15" s="2" customFormat="1" ht="13" x14ac:dyDescent="0.25">
      <c r="A34" s="13"/>
      <c r="B34" s="46">
        <v>1</v>
      </c>
      <c r="C34" s="46" t="s">
        <v>43</v>
      </c>
      <c r="D34" s="46">
        <v>1148070000</v>
      </c>
      <c r="E34" s="47" t="s">
        <v>100</v>
      </c>
      <c r="F34" s="47" t="s">
        <v>128</v>
      </c>
      <c r="G34" s="47" t="s">
        <v>174</v>
      </c>
      <c r="H34" s="47" t="s">
        <v>206</v>
      </c>
      <c r="I34" s="47" t="s">
        <v>244</v>
      </c>
      <c r="J34" s="47" t="s">
        <v>287</v>
      </c>
      <c r="K34" s="47" t="s">
        <v>302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11</v>
      </c>
    </row>
    <row r="35" spans="1:15" s="2" customFormat="1" ht="20.5" x14ac:dyDescent="0.25">
      <c r="A35" s="13"/>
      <c r="B35" s="46">
        <v>4</v>
      </c>
      <c r="C35" s="46" t="s">
        <v>44</v>
      </c>
      <c r="D35" s="46" t="s">
        <v>78</v>
      </c>
      <c r="E35" s="47" t="s">
        <v>102</v>
      </c>
      <c r="F35" s="47" t="s">
        <v>129</v>
      </c>
      <c r="G35" s="47" t="s">
        <v>78</v>
      </c>
      <c r="H35" s="47" t="s">
        <v>207</v>
      </c>
      <c r="I35" s="47" t="s">
        <v>245</v>
      </c>
      <c r="J35" s="47" t="s">
        <v>282</v>
      </c>
      <c r="K35" s="47" t="s">
        <v>301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45</v>
      </c>
    </row>
    <row r="36" spans="1:15" s="2" customFormat="1" ht="13" x14ac:dyDescent="0.25">
      <c r="A36" s="13"/>
      <c r="B36" s="46">
        <v>5</v>
      </c>
      <c r="C36" s="46" t="s">
        <v>34</v>
      </c>
      <c r="D36" s="46" t="s">
        <v>79</v>
      </c>
      <c r="E36" s="47" t="s">
        <v>101</v>
      </c>
      <c r="F36" s="47" t="s">
        <v>130</v>
      </c>
      <c r="G36" s="47" t="s">
        <v>175</v>
      </c>
      <c r="H36" s="47" t="s">
        <v>208</v>
      </c>
      <c r="I36" s="47" t="s">
        <v>246</v>
      </c>
      <c r="J36" s="47" t="s">
        <v>288</v>
      </c>
      <c r="K36" s="47" t="s">
        <v>301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60</v>
      </c>
    </row>
    <row r="37" spans="1:15" s="2" customFormat="1" ht="13" x14ac:dyDescent="0.25">
      <c r="A37" s="13"/>
      <c r="B37" s="46">
        <v>9</v>
      </c>
      <c r="C37" s="46" t="s">
        <v>34</v>
      </c>
      <c r="D37" s="46" t="s">
        <v>80</v>
      </c>
      <c r="E37" s="47" t="s">
        <v>100</v>
      </c>
      <c r="F37" s="47" t="s">
        <v>131</v>
      </c>
      <c r="G37" s="47" t="s">
        <v>176</v>
      </c>
      <c r="H37" s="47" t="s">
        <v>208</v>
      </c>
      <c r="I37" s="47" t="s">
        <v>247</v>
      </c>
      <c r="J37" s="47" t="s">
        <v>288</v>
      </c>
      <c r="K37" s="47" t="s">
        <v>301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100</v>
      </c>
    </row>
    <row r="38" spans="1:15" s="2" customFormat="1" ht="13" x14ac:dyDescent="0.25">
      <c r="A38" s="13"/>
      <c r="B38" s="46">
        <v>4</v>
      </c>
      <c r="C38" s="46" t="s">
        <v>34</v>
      </c>
      <c r="D38" s="46" t="s">
        <v>81</v>
      </c>
      <c r="E38" s="47" t="s">
        <v>100</v>
      </c>
      <c r="F38" s="47" t="s">
        <v>132</v>
      </c>
      <c r="G38" s="47" t="s">
        <v>177</v>
      </c>
      <c r="H38" s="47" t="s">
        <v>208</v>
      </c>
      <c r="I38" s="47" t="s">
        <v>248</v>
      </c>
      <c r="J38" s="47" t="s">
        <v>288</v>
      </c>
      <c r="K38" s="47" t="s">
        <v>301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50</v>
      </c>
    </row>
    <row r="39" spans="1:15" s="2" customFormat="1" ht="13" x14ac:dyDescent="0.25">
      <c r="A39" s="13"/>
      <c r="B39" s="46">
        <v>7</v>
      </c>
      <c r="C39" s="46" t="s">
        <v>34</v>
      </c>
      <c r="D39" s="46" t="s">
        <v>82</v>
      </c>
      <c r="E39" s="47" t="s">
        <v>100</v>
      </c>
      <c r="F39" s="47" t="s">
        <v>133</v>
      </c>
      <c r="G39" s="47" t="s">
        <v>178</v>
      </c>
      <c r="H39" s="47" t="s">
        <v>208</v>
      </c>
      <c r="I39" s="47" t="s">
        <v>249</v>
      </c>
      <c r="J39" s="47" t="s">
        <v>288</v>
      </c>
      <c r="K39" s="47" t="s">
        <v>301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80</v>
      </c>
    </row>
    <row r="40" spans="1:15" s="2" customFormat="1" ht="13" x14ac:dyDescent="0.25">
      <c r="A40" s="13"/>
      <c r="B40" s="46">
        <v>3</v>
      </c>
      <c r="C40" s="46" t="s">
        <v>34</v>
      </c>
      <c r="D40" s="46" t="s">
        <v>83</v>
      </c>
      <c r="E40" s="47" t="s">
        <v>101</v>
      </c>
      <c r="F40" s="47" t="s">
        <v>134</v>
      </c>
      <c r="G40" s="47" t="s">
        <v>179</v>
      </c>
      <c r="H40" s="47" t="s">
        <v>208</v>
      </c>
      <c r="I40" s="47" t="s">
        <v>250</v>
      </c>
      <c r="J40" s="47" t="s">
        <v>288</v>
      </c>
      <c r="K40" s="47" t="s">
        <v>301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40</v>
      </c>
    </row>
    <row r="41" spans="1:15" s="2" customFormat="1" ht="13" x14ac:dyDescent="0.25">
      <c r="A41" s="13"/>
      <c r="B41" s="46">
        <v>1</v>
      </c>
      <c r="C41" s="46" t="s">
        <v>32</v>
      </c>
      <c r="D41" s="46" t="s">
        <v>84</v>
      </c>
      <c r="E41" s="47" t="s">
        <v>100</v>
      </c>
      <c r="F41" s="47" t="s">
        <v>135</v>
      </c>
      <c r="G41" s="47" t="s">
        <v>180</v>
      </c>
      <c r="H41" s="47" t="s">
        <v>208</v>
      </c>
      <c r="I41" s="47" t="s">
        <v>251</v>
      </c>
      <c r="J41" s="47" t="s">
        <v>289</v>
      </c>
      <c r="K41" s="47"/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20</v>
      </c>
    </row>
    <row r="42" spans="1:15" s="2" customFormat="1" ht="13" x14ac:dyDescent="0.25">
      <c r="A42" s="13"/>
      <c r="B42" s="46">
        <v>1</v>
      </c>
      <c r="C42" s="46" t="s">
        <v>45</v>
      </c>
      <c r="D42" s="46" t="s">
        <v>85</v>
      </c>
      <c r="E42" s="47" t="s">
        <v>100</v>
      </c>
      <c r="F42" s="47" t="s">
        <v>136</v>
      </c>
      <c r="G42" s="47" t="s">
        <v>181</v>
      </c>
      <c r="H42" s="47" t="s">
        <v>209</v>
      </c>
      <c r="I42" s="47" t="s">
        <v>252</v>
      </c>
      <c r="J42" s="47" t="s">
        <v>290</v>
      </c>
      <c r="K42" s="47" t="s">
        <v>302</v>
      </c>
      <c r="L42" s="49">
        <f>+IF(OR(K42="BGA",K42="FP",K42="TH"),1,IF($K$4*B42&lt;100,5,0))</f>
        <v>1</v>
      </c>
      <c r="M42" s="48">
        <f>+IF(AND(K42="",$K$4*B42&gt;100),0.05,0)</f>
        <v>0</v>
      </c>
      <c r="N42" s="49">
        <f>+ROUNDUP($K$4*B42*M42+L42,0)</f>
        <v>1</v>
      </c>
      <c r="O42" s="42">
        <f>+IF(OR(LEFT(I42&amp;"",1)="C",LEFT(I42&amp;"",1)="R"),ROUNDUP($K$4*B42+N42,-1),$K$4*B42+N42)</f>
        <v>20</v>
      </c>
    </row>
    <row r="43" spans="1:15" s="2" customFormat="1" ht="13" x14ac:dyDescent="0.25">
      <c r="A43" s="13"/>
      <c r="B43" s="46">
        <v>3</v>
      </c>
      <c r="C43" s="46" t="s">
        <v>46</v>
      </c>
      <c r="D43" s="46" t="s">
        <v>86</v>
      </c>
      <c r="E43" s="47" t="s">
        <v>100</v>
      </c>
      <c r="F43" s="47" t="s">
        <v>137</v>
      </c>
      <c r="G43" s="47" t="s">
        <v>182</v>
      </c>
      <c r="H43" s="47" t="s">
        <v>209</v>
      </c>
      <c r="I43" s="47" t="s">
        <v>253</v>
      </c>
      <c r="J43" s="47" t="s">
        <v>291</v>
      </c>
      <c r="K43" s="47" t="s">
        <v>302</v>
      </c>
      <c r="L43" s="49">
        <f t="shared" ref="L43" si="64">+IF(OR(K43="BGA",K43="FP",K43="TH"),1,IF($K$4*B43&lt;100,5,0))</f>
        <v>1</v>
      </c>
      <c r="M43" s="48">
        <f t="shared" ref="M43" si="65">+IF(AND(K43="",$K$4*B43&gt;100),0.05,0)</f>
        <v>0</v>
      </c>
      <c r="N43" s="49">
        <f t="shared" ref="N43" si="66">+ROUNDUP($K$4*B43*M43+L43,0)</f>
        <v>1</v>
      </c>
      <c r="O43" s="42">
        <f t="shared" ref="O43" si="67">+IF(OR(LEFT(I43&amp;"",1)="C",LEFT(I43&amp;"",1)="R"),ROUNDUP($K$4*B43+N43,-1),$K$4*B43+N43)</f>
        <v>40</v>
      </c>
    </row>
    <row r="44" spans="1:15" s="2" customFormat="1" ht="13" x14ac:dyDescent="0.25">
      <c r="A44" s="13"/>
      <c r="B44" s="46">
        <v>2</v>
      </c>
      <c r="C44" s="46" t="s">
        <v>34</v>
      </c>
      <c r="D44" s="46" t="s">
        <v>87</v>
      </c>
      <c r="E44" s="47" t="s">
        <v>100</v>
      </c>
      <c r="F44" s="47" t="s">
        <v>138</v>
      </c>
      <c r="G44" s="47" t="s">
        <v>183</v>
      </c>
      <c r="H44" s="47" t="s">
        <v>208</v>
      </c>
      <c r="I44" s="47" t="s">
        <v>254</v>
      </c>
      <c r="J44" s="47" t="s">
        <v>288</v>
      </c>
      <c r="K44" s="47" t="s">
        <v>301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30</v>
      </c>
    </row>
    <row r="45" spans="1:15" s="2" customFormat="1" ht="13" x14ac:dyDescent="0.25">
      <c r="A45" s="13"/>
      <c r="B45" s="46">
        <v>1</v>
      </c>
      <c r="C45" s="46" t="s">
        <v>29</v>
      </c>
      <c r="D45" s="46" t="s">
        <v>88</v>
      </c>
      <c r="E45" s="47" t="s">
        <v>101</v>
      </c>
      <c r="F45" s="47" t="s">
        <v>139</v>
      </c>
      <c r="G45" s="47" t="s">
        <v>177</v>
      </c>
      <c r="H45" s="47" t="s">
        <v>208</v>
      </c>
      <c r="I45" s="47" t="s">
        <v>255</v>
      </c>
      <c r="J45" s="47" t="s">
        <v>289</v>
      </c>
      <c r="K45" s="47"/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20</v>
      </c>
    </row>
    <row r="46" spans="1:15" s="2" customFormat="1" ht="13" x14ac:dyDescent="0.25">
      <c r="A46" s="13"/>
      <c r="B46" s="46">
        <v>2</v>
      </c>
      <c r="C46" s="46" t="s">
        <v>47</v>
      </c>
      <c r="D46" s="46" t="s">
        <v>89</v>
      </c>
      <c r="E46" s="47" t="s">
        <v>100</v>
      </c>
      <c r="F46" s="47" t="s">
        <v>140</v>
      </c>
      <c r="G46" s="47" t="s">
        <v>184</v>
      </c>
      <c r="H46" s="47" t="s">
        <v>209</v>
      </c>
      <c r="I46" s="47" t="s">
        <v>256</v>
      </c>
      <c r="J46" s="47" t="s">
        <v>290</v>
      </c>
      <c r="K46" s="47" t="s">
        <v>302</v>
      </c>
      <c r="L46" s="49">
        <f>+IF(OR(K46="BGA",K46="FP",K46="TH"),1,IF($K$4*B46&lt;100,5,0))</f>
        <v>1</v>
      </c>
      <c r="M46" s="48">
        <f>+IF(AND(K46="",$K$4*B46&gt;100),0.05,0)</f>
        <v>0</v>
      </c>
      <c r="N46" s="49">
        <f>+ROUNDUP($K$4*B46*M46+L46,0)</f>
        <v>1</v>
      </c>
      <c r="O46" s="42">
        <f>+IF(OR(LEFT(I46&amp;"",1)="C",LEFT(I46&amp;"",1)="R"),ROUNDUP($K$4*B46+N46,-1),$K$4*B46+N46)</f>
        <v>30</v>
      </c>
    </row>
    <row r="47" spans="1:15" s="2" customFormat="1" ht="13" x14ac:dyDescent="0.25">
      <c r="A47" s="13"/>
      <c r="B47" s="46">
        <v>2</v>
      </c>
      <c r="C47" s="46" t="s">
        <v>47</v>
      </c>
      <c r="D47" s="46" t="s">
        <v>90</v>
      </c>
      <c r="E47" s="47" t="s">
        <v>100</v>
      </c>
      <c r="F47" s="47" t="s">
        <v>141</v>
      </c>
      <c r="G47" s="47" t="s">
        <v>182</v>
      </c>
      <c r="H47" s="47" t="s">
        <v>208</v>
      </c>
      <c r="I47" s="47" t="s">
        <v>257</v>
      </c>
      <c r="J47" s="47" t="s">
        <v>288</v>
      </c>
      <c r="K47" s="47" t="s">
        <v>301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30</v>
      </c>
    </row>
    <row r="48" spans="1:15" s="2" customFormat="1" ht="13" x14ac:dyDescent="0.25">
      <c r="A48" s="13"/>
      <c r="B48" s="46">
        <v>2</v>
      </c>
      <c r="C48" s="46" t="s">
        <v>48</v>
      </c>
      <c r="D48" s="46" t="s">
        <v>91</v>
      </c>
      <c r="E48" s="47" t="s">
        <v>102</v>
      </c>
      <c r="F48" s="47" t="s">
        <v>142</v>
      </c>
      <c r="G48" s="47" t="s">
        <v>185</v>
      </c>
      <c r="H48" s="47" t="s">
        <v>209</v>
      </c>
      <c r="I48" s="47" t="s">
        <v>258</v>
      </c>
      <c r="J48" s="47" t="s">
        <v>290</v>
      </c>
      <c r="K48" s="47" t="s">
        <v>302</v>
      </c>
      <c r="L48" s="49">
        <f>+IF(OR(K48="BGA",K48="FP",K48="TH"),1,IF($K$4*B48&lt;100,5,0))</f>
        <v>1</v>
      </c>
      <c r="M48" s="48">
        <f>+IF(AND(K48="",$K$4*B48&gt;100),0.05,0)</f>
        <v>0</v>
      </c>
      <c r="N48" s="49">
        <f>+ROUNDUP($K$4*B48*M48+L48,0)</f>
        <v>1</v>
      </c>
      <c r="O48" s="42">
        <f>+IF(OR(LEFT(I48&amp;"",1)="C",LEFT(I48&amp;"",1)="R"),ROUNDUP($K$4*B48+N48,-1),$K$4*B48+N48)</f>
        <v>30</v>
      </c>
    </row>
    <row r="49" spans="1:15" s="2" customFormat="1" ht="13" x14ac:dyDescent="0.25">
      <c r="A49" s="13"/>
      <c r="B49" s="46">
        <v>2</v>
      </c>
      <c r="C49" s="46" t="s">
        <v>45</v>
      </c>
      <c r="D49" s="46" t="s">
        <v>92</v>
      </c>
      <c r="E49" s="47" t="s">
        <v>100</v>
      </c>
      <c r="F49" s="47" t="s">
        <v>143</v>
      </c>
      <c r="G49" s="47" t="s">
        <v>179</v>
      </c>
      <c r="H49" s="47" t="s">
        <v>209</v>
      </c>
      <c r="I49" s="47" t="s">
        <v>259</v>
      </c>
      <c r="J49" s="47" t="s">
        <v>290</v>
      </c>
      <c r="K49" s="47" t="s">
        <v>302</v>
      </c>
      <c r="L49" s="49">
        <f t="shared" ref="L49" si="76">+IF(OR(K49="BGA",K49="FP",K49="TH"),1,IF($K$4*B49&lt;100,5,0))</f>
        <v>1</v>
      </c>
      <c r="M49" s="48">
        <f t="shared" ref="M49" si="77">+IF(AND(K49="",$K$4*B49&gt;100),0.05,0)</f>
        <v>0</v>
      </c>
      <c r="N49" s="49">
        <f t="shared" ref="N49" si="78">+ROUNDUP($K$4*B49*M49+L49,0)</f>
        <v>1</v>
      </c>
      <c r="O49" s="42">
        <f t="shared" ref="O49" si="79">+IF(OR(LEFT(I49&amp;"",1)="C",LEFT(I49&amp;"",1)="R"),ROUNDUP($K$4*B49+N49,-1),$K$4*B49+N49)</f>
        <v>30</v>
      </c>
    </row>
    <row r="50" spans="1:15" s="2" customFormat="1" ht="13" x14ac:dyDescent="0.25">
      <c r="A50" s="13"/>
      <c r="B50" s="46">
        <v>1</v>
      </c>
      <c r="C50" s="46" t="s">
        <v>34</v>
      </c>
      <c r="D50" s="46" t="s">
        <v>93</v>
      </c>
      <c r="E50" s="47" t="s">
        <v>100</v>
      </c>
      <c r="F50" s="47" t="s">
        <v>144</v>
      </c>
      <c r="G50" s="47" t="s">
        <v>186</v>
      </c>
      <c r="H50" s="47" t="s">
        <v>208</v>
      </c>
      <c r="I50" s="47" t="s">
        <v>260</v>
      </c>
      <c r="J50" s="47" t="s">
        <v>288</v>
      </c>
      <c r="K50" s="47"/>
      <c r="L50" s="49">
        <f>+IF(OR(K50="BGA",K50="FP",K50="TH"),1,IF($K$4*B50&lt;100,5,0))</f>
        <v>5</v>
      </c>
      <c r="M50" s="48">
        <f>+IF(AND(K50="",$K$4*B50&gt;100),0.05,0)</f>
        <v>0</v>
      </c>
      <c r="N50" s="49">
        <f>+ROUNDUP($K$4*B50*M50+L50,0)</f>
        <v>5</v>
      </c>
      <c r="O50" s="42">
        <f>+IF(OR(LEFT(I50&amp;"",1)="C",LEFT(I50&amp;"",1)="R"),ROUNDUP($K$4*B50+N50,-1),$K$4*B50+N50)</f>
        <v>20</v>
      </c>
    </row>
    <row r="51" spans="1:15" s="2" customFormat="1" ht="13" x14ac:dyDescent="0.25">
      <c r="A51" s="13"/>
      <c r="B51" s="46">
        <v>5</v>
      </c>
      <c r="C51" s="46" t="s">
        <v>49</v>
      </c>
      <c r="D51" s="46">
        <v>5009</v>
      </c>
      <c r="E51" s="47" t="s">
        <v>100</v>
      </c>
      <c r="F51" s="47" t="s">
        <v>145</v>
      </c>
      <c r="G51" s="47" t="s">
        <v>187</v>
      </c>
      <c r="H51" s="47" t="s">
        <v>210</v>
      </c>
      <c r="I51" s="47" t="s">
        <v>261</v>
      </c>
      <c r="J51" s="47" t="s">
        <v>292</v>
      </c>
      <c r="K51" s="47" t="s">
        <v>302</v>
      </c>
      <c r="L51" s="49">
        <f t="shared" ref="L51" si="80">+IF(OR(K51="BGA",K51="FP",K51="TH"),1,IF($K$4*B51&lt;100,5,0))</f>
        <v>1</v>
      </c>
      <c r="M51" s="48">
        <f t="shared" ref="M51" si="81">+IF(AND(K51="",$K$4*B51&gt;100),0.05,0)</f>
        <v>0</v>
      </c>
      <c r="N51" s="49">
        <f t="shared" ref="N51" si="82">+ROUNDUP($K$4*B51*M51+L51,0)</f>
        <v>1</v>
      </c>
      <c r="O51" s="42">
        <f t="shared" ref="O51" si="83">+IF(OR(LEFT(I51&amp;"",1)="C",LEFT(I51&amp;"",1)="R"),ROUNDUP($K$4*B51+N51,-1),$K$4*B51+N51)</f>
        <v>51</v>
      </c>
    </row>
    <row r="52" spans="1:15" s="2" customFormat="1" ht="13" x14ac:dyDescent="0.25">
      <c r="A52" s="13"/>
      <c r="B52" s="46">
        <v>1</v>
      </c>
      <c r="C52" s="46" t="s">
        <v>49</v>
      </c>
      <c r="D52" s="46">
        <v>5005</v>
      </c>
      <c r="E52" s="47" t="s">
        <v>100</v>
      </c>
      <c r="F52" s="47" t="s">
        <v>146</v>
      </c>
      <c r="G52" s="47" t="s">
        <v>187</v>
      </c>
      <c r="H52" s="47" t="s">
        <v>211</v>
      </c>
      <c r="I52" s="47" t="s">
        <v>262</v>
      </c>
      <c r="J52" s="47" t="s">
        <v>293</v>
      </c>
      <c r="K52" s="47" t="s">
        <v>302</v>
      </c>
      <c r="L52" s="49">
        <f>+IF(OR(K52="BGA",K52="FP",K52="TH"),1,IF($K$4*B52&lt;100,5,0))</f>
        <v>1</v>
      </c>
      <c r="M52" s="48">
        <f>+IF(AND(K52="",$K$4*B52&gt;100),0.05,0)</f>
        <v>0</v>
      </c>
      <c r="N52" s="49">
        <f>+ROUNDUP($K$4*B52*M52+L52,0)</f>
        <v>1</v>
      </c>
      <c r="O52" s="42">
        <f>+IF(OR(LEFT(I52&amp;"",1)="C",LEFT(I52&amp;"",1)="R"),ROUNDUP($K$4*B52+N52,-1),$K$4*B52+N52)</f>
        <v>11</v>
      </c>
    </row>
    <row r="53" spans="1:15" s="2" customFormat="1" ht="13" x14ac:dyDescent="0.25">
      <c r="A53" s="13"/>
      <c r="B53" s="46">
        <v>2</v>
      </c>
      <c r="C53" s="46" t="s">
        <v>49</v>
      </c>
      <c r="D53" s="46">
        <v>5006</v>
      </c>
      <c r="E53" s="47" t="s">
        <v>100</v>
      </c>
      <c r="F53" s="47" t="s">
        <v>147</v>
      </c>
      <c r="G53" s="47" t="s">
        <v>187</v>
      </c>
      <c r="H53" s="47" t="s">
        <v>212</v>
      </c>
      <c r="I53" s="47" t="s">
        <v>263</v>
      </c>
      <c r="J53" s="47" t="s">
        <v>294</v>
      </c>
      <c r="K53" s="47" t="s">
        <v>302</v>
      </c>
      <c r="L53" s="49">
        <f t="shared" ref="L53" si="84">+IF(OR(K53="BGA",K53="FP",K53="TH"),1,IF($K$4*B53&lt;100,5,0))</f>
        <v>1</v>
      </c>
      <c r="M53" s="48">
        <f t="shared" ref="M53" si="85">+IF(AND(K53="",$K$4*B53&gt;100),0.05,0)</f>
        <v>0</v>
      </c>
      <c r="N53" s="49">
        <f t="shared" ref="N53" si="86">+ROUNDUP($K$4*B53*M53+L53,0)</f>
        <v>1</v>
      </c>
      <c r="O53" s="42">
        <f t="shared" ref="O53" si="87">+IF(OR(LEFT(I53&amp;"",1)="C",LEFT(I53&amp;"",1)="R"),ROUNDUP($K$4*B53+N53,-1),$K$4*B53+N53)</f>
        <v>21</v>
      </c>
    </row>
    <row r="54" spans="1:15" s="2" customFormat="1" ht="13" x14ac:dyDescent="0.25">
      <c r="A54" s="13"/>
      <c r="B54" s="46">
        <v>1</v>
      </c>
      <c r="C54" s="46" t="s">
        <v>49</v>
      </c>
      <c r="D54" s="46">
        <v>5007</v>
      </c>
      <c r="E54" s="47" t="s">
        <v>100</v>
      </c>
      <c r="F54" s="47" t="s">
        <v>148</v>
      </c>
      <c r="G54" s="47" t="s">
        <v>187</v>
      </c>
      <c r="H54" s="47" t="s">
        <v>213</v>
      </c>
      <c r="I54" s="47" t="s">
        <v>264</v>
      </c>
      <c r="J54" s="47" t="s">
        <v>295</v>
      </c>
      <c r="K54" s="47" t="s">
        <v>302</v>
      </c>
      <c r="L54" s="49">
        <f>+IF(OR(K54="BGA",K54="FP",K54="TH"),1,IF($K$4*B54&lt;100,5,0))</f>
        <v>1</v>
      </c>
      <c r="M54" s="48">
        <f>+IF(AND(K54="",$K$4*B54&gt;100),0.05,0)</f>
        <v>0</v>
      </c>
      <c r="N54" s="49">
        <f>+ROUNDUP($K$4*B54*M54+L54,0)</f>
        <v>1</v>
      </c>
      <c r="O54" s="42">
        <f>+IF(OR(LEFT(I54&amp;"",1)="C",LEFT(I54&amp;"",1)="R"),ROUNDUP($K$4*B54+N54,-1),$K$4*B54+N54)</f>
        <v>11</v>
      </c>
    </row>
    <row r="55" spans="1:15" s="2" customFormat="1" ht="13" x14ac:dyDescent="0.25">
      <c r="A55" s="13"/>
      <c r="B55" s="46">
        <v>2</v>
      </c>
      <c r="C55" s="46" t="s">
        <v>50</v>
      </c>
      <c r="D55" s="46" t="s">
        <v>94</v>
      </c>
      <c r="E55" s="47" t="s">
        <v>100</v>
      </c>
      <c r="F55" s="47" t="s">
        <v>149</v>
      </c>
      <c r="G55" s="47" t="s">
        <v>188</v>
      </c>
      <c r="H55" s="47" t="s">
        <v>214</v>
      </c>
      <c r="I55" s="47" t="s">
        <v>265</v>
      </c>
      <c r="J55" s="47" t="s">
        <v>296</v>
      </c>
      <c r="K55" s="47" t="s">
        <v>301</v>
      </c>
      <c r="L55" s="49">
        <f t="shared" ref="L55" si="88">+IF(OR(K55="BGA",K55="FP",K55="TH"),1,IF($K$4*B55&lt;100,5,0))</f>
        <v>5</v>
      </c>
      <c r="M55" s="48">
        <f t="shared" ref="M55" si="89">+IF(AND(K55="",$K$4*B55&gt;100),0.05,0)</f>
        <v>0</v>
      </c>
      <c r="N55" s="49">
        <f t="shared" ref="N55" si="90">+ROUNDUP($K$4*B55*M55+L55,0)</f>
        <v>5</v>
      </c>
      <c r="O55" s="42">
        <f t="shared" ref="O55" si="91">+IF(OR(LEFT(I55&amp;"",1)="C",LEFT(I55&amp;"",1)="R"),ROUNDUP($K$4*B55+N55,-1),$K$4*B55+N55)</f>
        <v>25</v>
      </c>
    </row>
    <row r="56" spans="1:15" s="2" customFormat="1" ht="13" x14ac:dyDescent="0.25">
      <c r="A56" s="13"/>
      <c r="B56" s="46">
        <v>1</v>
      </c>
      <c r="C56" s="46" t="s">
        <v>51</v>
      </c>
      <c r="D56" s="46" t="s">
        <v>95</v>
      </c>
      <c r="E56" s="47" t="s">
        <v>100</v>
      </c>
      <c r="F56" s="47" t="s">
        <v>150</v>
      </c>
      <c r="G56" s="47" t="s">
        <v>189</v>
      </c>
      <c r="H56" s="47" t="s">
        <v>215</v>
      </c>
      <c r="I56" s="47" t="s">
        <v>266</v>
      </c>
      <c r="J56" s="47" t="s">
        <v>297</v>
      </c>
      <c r="K56" s="47"/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15</v>
      </c>
    </row>
    <row r="57" spans="1:15" s="2" customFormat="1" ht="20.5" x14ac:dyDescent="0.25">
      <c r="A57" s="13"/>
      <c r="B57" s="46">
        <v>4</v>
      </c>
      <c r="C57" s="46" t="s">
        <v>50</v>
      </c>
      <c r="D57" s="46" t="s">
        <v>96</v>
      </c>
      <c r="E57" s="47" t="s">
        <v>100</v>
      </c>
      <c r="F57" s="47" t="s">
        <v>151</v>
      </c>
      <c r="G57" s="47" t="s">
        <v>190</v>
      </c>
      <c r="H57" s="47" t="s">
        <v>216</v>
      </c>
      <c r="I57" s="47" t="s">
        <v>267</v>
      </c>
      <c r="J57" s="47" t="s">
        <v>296</v>
      </c>
      <c r="K57" s="47" t="s">
        <v>301</v>
      </c>
      <c r="L57" s="49">
        <f t="shared" ref="L57" si="92">+IF(OR(K57="BGA",K57="FP",K57="TH"),1,IF($K$4*B57&lt;100,5,0))</f>
        <v>5</v>
      </c>
      <c r="M57" s="48">
        <f t="shared" ref="M57" si="93">+IF(AND(K57="",$K$4*B57&gt;100),0.05,0)</f>
        <v>0</v>
      </c>
      <c r="N57" s="49">
        <f t="shared" ref="N57" si="94">+ROUNDUP($K$4*B57*M57+L57,0)</f>
        <v>5</v>
      </c>
      <c r="O57" s="42">
        <f t="shared" ref="O57" si="95">+IF(OR(LEFT(I57&amp;"",1)="C",LEFT(I57&amp;"",1)="R"),ROUNDUP($K$4*B57+N57,-1),$K$4*B57+N57)</f>
        <v>45</v>
      </c>
    </row>
    <row r="58" spans="1:15" s="2" customFormat="1" ht="13" x14ac:dyDescent="0.25">
      <c r="A58" s="13"/>
      <c r="B58" s="46">
        <v>1</v>
      </c>
      <c r="C58" s="46" t="s">
        <v>303</v>
      </c>
      <c r="D58" s="64" t="s">
        <v>304</v>
      </c>
      <c r="E58" s="47" t="s">
        <v>101</v>
      </c>
      <c r="F58" s="47" t="s">
        <v>152</v>
      </c>
      <c r="G58" s="47" t="s">
        <v>191</v>
      </c>
      <c r="H58" s="47" t="s">
        <v>217</v>
      </c>
      <c r="I58" s="47" t="s">
        <v>268</v>
      </c>
      <c r="J58" s="47" t="s">
        <v>298</v>
      </c>
      <c r="K58" s="47" t="s">
        <v>302</v>
      </c>
      <c r="L58" s="49">
        <f>+IF(OR(K58="BGA",K58="FP",K58="TH"),1,IF($K$4*B58&lt;100,5,0))</f>
        <v>1</v>
      </c>
      <c r="M58" s="48">
        <f>+IF(AND(K58="",$K$4*B58&gt;100),0.05,0)</f>
        <v>0</v>
      </c>
      <c r="N58" s="49">
        <f>+ROUNDUP($K$4*B58*M58+L58,0)</f>
        <v>1</v>
      </c>
      <c r="O58" s="42">
        <f>+IF(OR(LEFT(I58&amp;"",1)="C",LEFT(I58&amp;"",1)="R"),ROUNDUP($K$4*B58+N58,-1),$K$4*B58+N58)</f>
        <v>11</v>
      </c>
    </row>
    <row r="59" spans="1:15" s="2" customFormat="1" ht="20.5" x14ac:dyDescent="0.25">
      <c r="A59" s="13"/>
      <c r="B59" s="46">
        <v>1</v>
      </c>
      <c r="C59" s="46" t="s">
        <v>50</v>
      </c>
      <c r="D59" s="46" t="s">
        <v>97</v>
      </c>
      <c r="E59" s="47" t="s">
        <v>100</v>
      </c>
      <c r="F59" s="47" t="s">
        <v>153</v>
      </c>
      <c r="G59" s="47" t="s">
        <v>192</v>
      </c>
      <c r="H59" s="47" t="s">
        <v>216</v>
      </c>
      <c r="I59" s="47" t="s">
        <v>269</v>
      </c>
      <c r="J59" s="47" t="s">
        <v>296</v>
      </c>
      <c r="K59" s="47"/>
      <c r="L59" s="49">
        <f t="shared" ref="L59" si="96">+IF(OR(K59="BGA",K59="FP",K59="TH"),1,IF($K$4*B59&lt;100,5,0))</f>
        <v>5</v>
      </c>
      <c r="M59" s="48">
        <f t="shared" ref="M59" si="97">+IF(AND(K59="",$K$4*B59&gt;100),0.05,0)</f>
        <v>0</v>
      </c>
      <c r="N59" s="49">
        <f t="shared" ref="N59" si="98">+ROUNDUP($K$4*B59*M59+L59,0)</f>
        <v>5</v>
      </c>
      <c r="O59" s="42">
        <f t="shared" ref="O59" si="99">+IF(OR(LEFT(I59&amp;"",1)="C",LEFT(I59&amp;"",1)="R"),ROUNDUP($K$4*B59+N59,-1),$K$4*B59+N59)</f>
        <v>15</v>
      </c>
    </row>
    <row r="60" spans="1:15" ht="20.5" x14ac:dyDescent="0.25">
      <c r="A60" s="13"/>
      <c r="B60" s="46">
        <v>1</v>
      </c>
      <c r="C60" s="46" t="s">
        <v>52</v>
      </c>
      <c r="D60" s="46" t="s">
        <v>98</v>
      </c>
      <c r="E60" s="47" t="s">
        <v>100</v>
      </c>
      <c r="F60" s="47" t="s">
        <v>154</v>
      </c>
      <c r="G60" s="47" t="s">
        <v>193</v>
      </c>
      <c r="H60" s="47" t="s">
        <v>218</v>
      </c>
      <c r="I60" s="47" t="s">
        <v>270</v>
      </c>
      <c r="J60" s="47" t="s">
        <v>299</v>
      </c>
      <c r="K60" s="47"/>
      <c r="L60" s="49">
        <f>+IF(OR(K60="BGA",K60="FP",K60="TH"),1,IF($K$4*B60&lt;100,5,0))</f>
        <v>5</v>
      </c>
      <c r="M60" s="48">
        <f>+IF(AND(K60="",$K$4*B60&gt;100),0.05,0)</f>
        <v>0</v>
      </c>
      <c r="N60" s="49">
        <f>+ROUNDUP($K$4*B60*M60+L60,0)</f>
        <v>5</v>
      </c>
      <c r="O60" s="42">
        <f>+IF(OR(LEFT(I60&amp;"",1)="C",LEFT(I60&amp;"",1)="R"),ROUNDUP($K$4*B60+N60,-1),$K$4*B60+N60)</f>
        <v>15</v>
      </c>
    </row>
    <row r="61" spans="1:15" x14ac:dyDescent="0.25">
      <c r="A61" s="14"/>
      <c r="B61" s="43">
        <f>SUM(B10:B60)</f>
        <v>132</v>
      </c>
      <c r="C61" s="50"/>
      <c r="D61" s="50"/>
      <c r="E61" s="44" t="s">
        <v>9</v>
      </c>
      <c r="F61" s="44"/>
      <c r="G61" s="44"/>
      <c r="H61" s="44"/>
      <c r="I61" s="45"/>
      <c r="J61" s="45"/>
      <c r="K61" s="44"/>
      <c r="L61" s="45"/>
      <c r="M61" s="45"/>
      <c r="N61" s="45"/>
      <c r="O61" s="45"/>
    </row>
    <row r="62" spans="1:15" x14ac:dyDescent="0.25">
      <c r="B62" s="1"/>
      <c r="C62" s="1"/>
      <c r="D62" s="1"/>
      <c r="E62" s="1"/>
    </row>
    <row r="63" spans="1:15" x14ac:dyDescent="0.25">
      <c r="B63" s="1"/>
      <c r="C63" s="1"/>
      <c r="D63" s="1"/>
      <c r="E63" s="1"/>
    </row>
    <row r="64" spans="1:15" x14ac:dyDescent="0.25">
      <c r="B64" s="1"/>
      <c r="C64" s="1"/>
      <c r="D64" s="1"/>
      <c r="E64" s="1"/>
    </row>
    <row r="65" spans="2:9" ht="17.5" x14ac:dyDescent="0.25">
      <c r="B65" s="1"/>
      <c r="C65" s="1"/>
      <c r="D65" s="1"/>
      <c r="E65" s="61" t="s">
        <v>8</v>
      </c>
      <c r="F65" s="62"/>
      <c r="G65" s="63"/>
      <c r="H65" s="20"/>
      <c r="I65" s="21"/>
    </row>
    <row r="66" spans="2:9" x14ac:dyDescent="0.25">
      <c r="E66" s="33" t="s">
        <v>3</v>
      </c>
      <c r="F66" s="34"/>
      <c r="G66" s="35">
        <f>COUNT(B10:B60)</f>
        <v>51</v>
      </c>
    </row>
    <row r="67" spans="2:9" x14ac:dyDescent="0.25">
      <c r="E67" s="16" t="s">
        <v>4</v>
      </c>
      <c r="F67" s="30"/>
      <c r="G67" s="28">
        <f>SUMIF($K$10:$K$60, "", $B$10:$B$60)</f>
        <v>101</v>
      </c>
    </row>
    <row r="68" spans="2:9" x14ac:dyDescent="0.25">
      <c r="E68" s="33" t="s">
        <v>5</v>
      </c>
      <c r="F68" s="34"/>
      <c r="G68" s="36">
        <f>SUMIF($K$10:$K$60, "TH", $B$10:$B$60)</f>
        <v>31</v>
      </c>
    </row>
    <row r="69" spans="2:9" x14ac:dyDescent="0.25">
      <c r="E69" s="16" t="s">
        <v>6</v>
      </c>
      <c r="F69" s="30"/>
      <c r="G69" s="28">
        <f>SUMIF($K$10:$K$60, "FP", $B$10:$B$60)</f>
        <v>0</v>
      </c>
    </row>
    <row r="70" spans="2:9" x14ac:dyDescent="0.25">
      <c r="E70" s="33" t="s">
        <v>7</v>
      </c>
      <c r="F70" s="34"/>
      <c r="G70" s="36">
        <f>SUMIF($K$10:$K$60, "BGA", $B$10:$B$60)</f>
        <v>0</v>
      </c>
    </row>
    <row r="71" spans="2:9" x14ac:dyDescent="0.25">
      <c r="E71" s="27" t="s">
        <v>16</v>
      </c>
      <c r="F71" s="31"/>
      <c r="G71" s="29">
        <f>SUMIF($K$10:$K$60, "M", $B$10:$B$60)</f>
        <v>0</v>
      </c>
    </row>
  </sheetData>
  <mergeCells count="3">
    <mergeCell ref="I4:J4"/>
    <mergeCell ref="G8:H8"/>
    <mergeCell ref="E65:G65"/>
  </mergeCells>
  <phoneticPr fontId="0" type="noConversion"/>
  <conditionalFormatting sqref="B10:N57 B59:N60 B58 E58:N58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C58:D58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2025-06-18T20:00:47Z</dcterms:modified>
</cp:coreProperties>
</file>