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PZTDriver\Project Outputs for PZTInterface\"/>
    </mc:Choice>
  </mc:AlternateContent>
  <xr:revisionPtr revIDLastSave="0" documentId="13_ncr:1_{6665CE0B-F137-495A-AA51-3AF5BBD6565E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1" i="3" l="1"/>
  <c r="L31" i="3"/>
  <c r="M30" i="3"/>
  <c r="L30" i="3"/>
  <c r="M29" i="3"/>
  <c r="N29" i="3" s="1"/>
  <c r="O29" i="3" s="1"/>
  <c r="L29" i="3"/>
  <c r="M28" i="3"/>
  <c r="L28" i="3"/>
  <c r="N28" i="3" s="1"/>
  <c r="O28" i="3" s="1"/>
  <c r="M27" i="3"/>
  <c r="L27" i="3"/>
  <c r="M26" i="3"/>
  <c r="L26" i="3"/>
  <c r="M25" i="3"/>
  <c r="N25" i="3" s="1"/>
  <c r="O25" i="3" s="1"/>
  <c r="L25" i="3"/>
  <c r="M24" i="3"/>
  <c r="L24" i="3"/>
  <c r="M23" i="3"/>
  <c r="L23" i="3"/>
  <c r="M22" i="3"/>
  <c r="L22" i="3"/>
  <c r="M21" i="3"/>
  <c r="N21" i="3" s="1"/>
  <c r="O21" i="3" s="1"/>
  <c r="L21" i="3"/>
  <c r="M20" i="3"/>
  <c r="L20" i="3"/>
  <c r="M19" i="3"/>
  <c r="L19" i="3"/>
  <c r="M18" i="3"/>
  <c r="L18" i="3"/>
  <c r="M17" i="3"/>
  <c r="N17" i="3" s="1"/>
  <c r="O17" i="3" s="1"/>
  <c r="L17" i="3"/>
  <c r="M16" i="3"/>
  <c r="L16" i="3"/>
  <c r="M15" i="3"/>
  <c r="L15" i="3"/>
  <c r="M14" i="3"/>
  <c r="L14" i="3"/>
  <c r="M13" i="3"/>
  <c r="N13" i="3" s="1"/>
  <c r="O13" i="3" s="1"/>
  <c r="L13" i="3"/>
  <c r="M12" i="3"/>
  <c r="L12" i="3"/>
  <c r="L11" i="3"/>
  <c r="M11" i="3"/>
  <c r="M10" i="3"/>
  <c r="L10" i="3"/>
  <c r="G42" i="3"/>
  <c r="G41" i="3"/>
  <c r="G40" i="3"/>
  <c r="G39" i="3"/>
  <c r="G38" i="3"/>
  <c r="G37" i="3"/>
  <c r="B32" i="3"/>
  <c r="F8" i="3"/>
  <c r="G8" i="3"/>
  <c r="N14" i="3" l="1"/>
  <c r="O14" i="3" s="1"/>
  <c r="N18" i="3"/>
  <c r="O18" i="3" s="1"/>
  <c r="N16" i="3"/>
  <c r="O16" i="3" s="1"/>
  <c r="N20" i="3"/>
  <c r="O20" i="3" s="1"/>
  <c r="N24" i="3"/>
  <c r="O24" i="3" s="1"/>
  <c r="N26" i="3"/>
  <c r="O26" i="3" s="1"/>
  <c r="N30" i="3"/>
  <c r="O30" i="3" s="1"/>
  <c r="N22" i="3"/>
  <c r="O22" i="3" s="1"/>
  <c r="N12" i="3"/>
  <c r="O12" i="3" s="1"/>
  <c r="N15" i="3"/>
  <c r="O15" i="3" s="1"/>
  <c r="N19" i="3"/>
  <c r="O19" i="3" s="1"/>
  <c r="N23" i="3"/>
  <c r="O23" i="3" s="1"/>
  <c r="N27" i="3"/>
  <c r="O27" i="3" s="1"/>
  <c r="N31" i="3"/>
  <c r="O31" i="3" s="1"/>
  <c r="N11" i="3"/>
  <c r="O11" i="3" s="1"/>
  <c r="N10" i="3"/>
  <c r="O10" i="3" s="1"/>
</calcChain>
</file>

<file path=xl/sharedStrings.xml><?xml version="1.0" encoding="utf-8"?>
<sst xmlns="http://schemas.openxmlformats.org/spreadsheetml/2006/main" count="218" uniqueCount="151">
  <si>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</si>
  <si>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</si>
  <si>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</si>
  <si>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</si>
  <si>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</si>
  <si>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</si>
  <si>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</si>
  <si>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</si>
  <si>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</si>
  <si>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</si>
  <si>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</si>
  <si>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</si>
  <si>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</si>
  <si>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</si>
  <si>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</si>
  <si>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</si>
  <si>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</si>
  <si>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</si>
  <si>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</si>
  <si>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</si>
  <si>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1</t>
  </si>
  <si>
    <t>PZTInterface.PrjPCB</t>
  </si>
  <si>
    <t>10</t>
  </si>
  <si>
    <t>Daniel Sigg</t>
  </si>
  <si>
    <t>6/18/2025</t>
  </si>
  <si>
    <t>10:13 AM</t>
  </si>
  <si>
    <t>Quantity</t>
  </si>
  <si>
    <t>Manufacturer 1</t>
  </si>
  <si>
    <t>Keystone Electronics</t>
  </si>
  <si>
    <t>Kyocera AVX</t>
  </si>
  <si>
    <t>KEMET</t>
  </si>
  <si>
    <t>Littelfuse</t>
  </si>
  <si>
    <t>TE Connectivity</t>
  </si>
  <si>
    <t>Amphenol ICC / FCI</t>
  </si>
  <si>
    <t>Weidmuller</t>
  </si>
  <si>
    <t>Vishay</t>
  </si>
  <si>
    <t>Panasonic</t>
  </si>
  <si>
    <t>Manufacturer Part Number 1</t>
  </si>
  <si>
    <t>KGM21NR71H104KT</t>
  </si>
  <si>
    <t>C2225C474KBRACAUTO</t>
  </si>
  <si>
    <t>1.5SMC530A</t>
  </si>
  <si>
    <t>1.5SMC75A</t>
  </si>
  <si>
    <t>1450D</t>
  </si>
  <si>
    <t>5747845-6</t>
  </si>
  <si>
    <t>86093487313755E1LF</t>
  </si>
  <si>
    <t>1761607-5</t>
  </si>
  <si>
    <t>1761606-6</t>
  </si>
  <si>
    <t>TNPW080510R0FEEA</t>
  </si>
  <si>
    <t>ERA-6AEB103V</t>
  </si>
  <si>
    <t>Supplier 1</t>
  </si>
  <si>
    <t>Digikey</t>
  </si>
  <si>
    <t>McMaster-Carr</t>
  </si>
  <si>
    <t>DigiKey</t>
  </si>
  <si>
    <t>Supplier Part Number 1</t>
  </si>
  <si>
    <t>36-708-ND</t>
  </si>
  <si>
    <t>478-KGM21NR71H104KTCT-ND</t>
  </si>
  <si>
    <t>399-16823-1-ND</t>
  </si>
  <si>
    <t/>
  </si>
  <si>
    <t>18-1.5SMC530ACT-ND</t>
  </si>
  <si>
    <t>1.5SMC75ACT-ND</t>
  </si>
  <si>
    <t>36-1450D-ND</t>
  </si>
  <si>
    <t>90272A108</t>
  </si>
  <si>
    <t>36-3358-ND</t>
  </si>
  <si>
    <t>91113A005</t>
  </si>
  <si>
    <t>90480A005</t>
  </si>
  <si>
    <t>91099A165</t>
  </si>
  <si>
    <t>A32123-ND</t>
  </si>
  <si>
    <t>609-2112-ND</t>
  </si>
  <si>
    <t>A31177-ND</t>
  </si>
  <si>
    <t>281-1443-ND</t>
  </si>
  <si>
    <t>A31169-ND</t>
  </si>
  <si>
    <t>541-3916-1-ND</t>
  </si>
  <si>
    <t>P10KDACT-ND</t>
  </si>
  <si>
    <t>36-5005-ND</t>
  </si>
  <si>
    <t>36-5006-ND</t>
  </si>
  <si>
    <t>36-5007-ND</t>
  </si>
  <si>
    <t>Name</t>
  </si>
  <si>
    <t>Bracket</t>
  </si>
  <si>
    <t>100n</t>
  </si>
  <si>
    <t>470n</t>
  </si>
  <si>
    <t>zener diode</t>
  </si>
  <si>
    <t>standoff 3/4", #4-40</t>
  </si>
  <si>
    <t>#4 screw, 3/8"</t>
  </si>
  <si>
    <t>#4 washer, nylon</t>
  </si>
  <si>
    <t>#4 lock washer</t>
  </si>
  <si>
    <t>#4 nut</t>
  </si>
  <si>
    <t>DB15F</t>
  </si>
  <si>
    <t>DIN48</t>
  </si>
  <si>
    <t>DsubPower</t>
  </si>
  <si>
    <t>09 18 514 7323</t>
  </si>
  <si>
    <t>TBlock_5.08_3</t>
  </si>
  <si>
    <t>09 18 516 6324</t>
  </si>
  <si>
    <t>10k</t>
  </si>
  <si>
    <t>Testpoint</t>
  </si>
  <si>
    <t>Description</t>
  </si>
  <si>
    <t>Keystone Electronics right-angle 6-32 steel, 708</t>
  </si>
  <si>
    <t>Capacitor, surface mount</t>
  </si>
  <si>
    <t>Single zener diode</t>
  </si>
  <si>
    <t>standoff 3/4", #4-40, female-female</t>
  </si>
  <si>
    <t>Mounting hardware</t>
  </si>
  <si>
    <t>Receptacle Assembly, 15 Position, Right Angle, .318 Series</t>
  </si>
  <si>
    <t>DIN 48, 3 rows</t>
  </si>
  <si>
    <t>3 contact Dsub Power Connector</t>
  </si>
  <si>
    <t>Flat Cable Connector (IDC), Low-Profile Male Header, Angled Solder Pin, 14 Contacts, Performance Level 3</t>
  </si>
  <si>
    <t>Terminal block, 5.08mm, 3-Pin</t>
  </si>
  <si>
    <t>Flat Cable Connector (IDC), Low-Profile Male Header, Straight Solder Pin, 16 Contacts, Performance Level 2</t>
  </si>
  <si>
    <t>Resistor, surface mount</t>
  </si>
  <si>
    <t>Testpoint, red</t>
  </si>
  <si>
    <t>Testpoint, black</t>
  </si>
  <si>
    <t>Testpoint, white</t>
  </si>
  <si>
    <t>Designator</t>
  </si>
  <si>
    <t>B1</t>
  </si>
  <si>
    <t>C1, C6</t>
  </si>
  <si>
    <t>C2, C3</t>
  </si>
  <si>
    <t>D1</t>
  </si>
  <si>
    <t>D2</t>
  </si>
  <si>
    <t>E1, E2, E3, E4</t>
  </si>
  <si>
    <t>H1, H3, H5, H11, H13</t>
  </si>
  <si>
    <t>H2, H4, H12</t>
  </si>
  <si>
    <t>H6, H9</t>
  </si>
  <si>
    <t>H7, H10</t>
  </si>
  <si>
    <t>H8</t>
  </si>
  <si>
    <t>J1</t>
  </si>
  <si>
    <t>J2</t>
  </si>
  <si>
    <t>J3</t>
  </si>
  <si>
    <t>P1, P2, P3, P4</t>
  </si>
  <si>
    <t>P5, P6, P7, P8</t>
  </si>
  <si>
    <t>P9</t>
  </si>
  <si>
    <t>R1, R3</t>
  </si>
  <si>
    <t>R2</t>
  </si>
  <si>
    <t>TP1</t>
  </si>
  <si>
    <t>TP2, TP4</t>
  </si>
  <si>
    <t>TP3</t>
  </si>
  <si>
    <t>Footprint</t>
  </si>
  <si>
    <t>Bracket-RA_708</t>
  </si>
  <si>
    <t>CC2013-0805</t>
  </si>
  <si>
    <t>CC5664-2225</t>
  </si>
  <si>
    <t>DO-SMC</t>
  </si>
  <si>
    <t>DB15F-RA</t>
  </si>
  <si>
    <t>DIN48RA</t>
  </si>
  <si>
    <t>DSUB-PWR3-RAPLUG</t>
  </si>
  <si>
    <t>918514x323</t>
  </si>
  <si>
    <t>TBLOCK-5.08-3</t>
  </si>
  <si>
    <t>918516x324</t>
  </si>
  <si>
    <t>CR2012-0805</t>
  </si>
  <si>
    <t>Assembly Type</t>
  </si>
  <si>
    <t>M</t>
  </si>
  <si>
    <t>TH</t>
  </si>
  <si>
    <t>D1001204</t>
  </si>
  <si>
    <t>D3W3P36A6GV08LF</t>
  </si>
  <si>
    <t>609-2825-ND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</si>
</sst>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5" fillId="0" borderId="0" xfId="0" applyFont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</cellXfs>
  <cellStyles count="1">
    <cellStyle name="Normal" xfId="0" builtinId="0"/>
  </cellStyles>
  <dxfs count="2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32" totalsRowShown="0" headerRowDxfId="19" dataDxfId="17" headerRowBorderDxfId="18" tableBorderDxfId="16">
  <autoFilter ref="B9:O32" xr:uid="{00000000-0009-0000-0100-000002000000}"/>
  <tableColumns count="14">
    <tableColumn id="1" xr3:uid="{00000000-0010-0000-0000-000001000000}" name="Quantity" dataDxfId="15"/>
    <tableColumn id="13" xr3:uid="{E63D2325-985C-42DA-B8D6-1DEE83CC2C12}" name="Manufacturer 1" dataDxfId="14"/>
    <tableColumn id="14" xr3:uid="{99B152BA-3BCD-4256-B3DD-EB9E28C53A85}" name="Manufacturer Part Number 1" dataDxfId="13"/>
    <tableColumn id="2" xr3:uid="{00000000-0010-0000-0000-000002000000}" name="Supplier 1" dataDxfId="12"/>
    <tableColumn id="3" xr3:uid="{00000000-0010-0000-0000-000003000000}" name="Supplier Part Number 1" dataDxfId="11"/>
    <tableColumn id="4" xr3:uid="{00000000-0010-0000-0000-000004000000}" name="Name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42"/>
  <sheetViews>
    <sheetView showGridLines="0" tabSelected="1" zoomScaleNormal="100" workbookViewId="0">
      <selection activeCell="F24" sqref="F24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8.54296875" style="3" customWidth="1"/>
    <col min="6" max="6" width="24.81640625" style="1" customWidth="1"/>
    <col min="7" max="7" width="18" style="1" customWidth="1"/>
    <col min="8" max="8" width="30.7265625" style="1" customWidth="1"/>
    <col min="9" max="9" width="74.5429687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38" t="s">
        <v>148</v>
      </c>
      <c r="J2" s="22" t="s">
        <v>12</v>
      </c>
      <c r="K2" s="51" t="s">
        <v>20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52" t="s">
        <v>21</v>
      </c>
      <c r="G4" s="8"/>
      <c r="H4" s="6"/>
      <c r="I4" s="57" t="s">
        <v>15</v>
      </c>
      <c r="J4" s="58"/>
      <c r="K4" s="53" t="s">
        <v>22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54" t="s">
        <v>23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55" t="s">
        <v>24</v>
      </c>
      <c r="G7" s="55" t="s">
        <v>25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45868</v>
      </c>
      <c r="G8" s="59">
        <f ca="1">NOW()</f>
        <v>45868.499950578705</v>
      </c>
      <c r="H8" s="60"/>
      <c r="I8" s="11"/>
      <c r="J8" s="11"/>
      <c r="O8" s="24"/>
    </row>
    <row r="9" spans="1:15" s="2" customFormat="1" ht="24.75" customHeight="1" x14ac:dyDescent="0.25">
      <c r="A9" s="13"/>
      <c r="B9" s="39" t="s">
        <v>26</v>
      </c>
      <c r="C9" s="41" t="s">
        <v>27</v>
      </c>
      <c r="D9" s="41" t="s">
        <v>37</v>
      </c>
      <c r="E9" s="40" t="s">
        <v>49</v>
      </c>
      <c r="F9" s="40" t="s">
        <v>53</v>
      </c>
      <c r="G9" s="40" t="s">
        <v>76</v>
      </c>
      <c r="H9" s="40" t="s">
        <v>94</v>
      </c>
      <c r="I9" s="41" t="s">
        <v>110</v>
      </c>
      <c r="J9" s="40" t="s">
        <v>133</v>
      </c>
      <c r="K9" s="40" t="s">
        <v>145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20.5" x14ac:dyDescent="0.25">
      <c r="A10" s="13"/>
      <c r="B10" s="46">
        <v>1</v>
      </c>
      <c r="C10" s="46" t="s">
        <v>28</v>
      </c>
      <c r="D10" s="56">
        <v>708</v>
      </c>
      <c r="E10" s="47" t="s">
        <v>50</v>
      </c>
      <c r="F10" s="47" t="s">
        <v>54</v>
      </c>
      <c r="G10" s="47" t="s">
        <v>77</v>
      </c>
      <c r="H10" s="47" t="s">
        <v>95</v>
      </c>
      <c r="I10" s="47" t="s">
        <v>111</v>
      </c>
      <c r="J10" s="47" t="s">
        <v>134</v>
      </c>
      <c r="K10" s="47" t="s">
        <v>146</v>
      </c>
      <c r="L10" s="49">
        <f>+IF(OR(K10="BGA",K10="FP",K10="TH"),1,IF($K$4*B10&lt;100,5,0))</f>
        <v>5</v>
      </c>
      <c r="M10" s="48">
        <f>+IF(AND(K10="",$K$4*B10&gt;100),0.05,0)</f>
        <v>0</v>
      </c>
      <c r="N10" s="49">
        <f>+ROUNDUP($K$4*B10*M10+L10,0)</f>
        <v>5</v>
      </c>
      <c r="O10" s="42">
        <f>+IF(OR(LEFT(I10&amp;"",1)="C",LEFT(I10&amp;"",1)="R"),ROUNDUP($K$4*B10+N10,-1),$K$4*B10+N10)</f>
        <v>15</v>
      </c>
    </row>
    <row r="11" spans="1:15" s="2" customFormat="1" ht="13" x14ac:dyDescent="0.25">
      <c r="A11" s="13"/>
      <c r="B11" s="46">
        <v>2</v>
      </c>
      <c r="C11" s="46" t="s">
        <v>29</v>
      </c>
      <c r="D11" s="56" t="s">
        <v>38</v>
      </c>
      <c r="E11" s="47" t="s">
        <v>50</v>
      </c>
      <c r="F11" s="47" t="s">
        <v>55</v>
      </c>
      <c r="G11" s="47" t="s">
        <v>78</v>
      </c>
      <c r="H11" s="47" t="s">
        <v>96</v>
      </c>
      <c r="I11" s="47" t="s">
        <v>112</v>
      </c>
      <c r="J11" s="47" t="s">
        <v>135</v>
      </c>
      <c r="K11" s="47" t="s">
        <v>57</v>
      </c>
      <c r="L11" s="49">
        <f t="shared" ref="L11" si="0">+IF(OR(K11="BGA",K11="FP",K11="TH"),1,IF($K$4*B11&lt;100,5,0))</f>
        <v>5</v>
      </c>
      <c r="M11" s="48">
        <f t="shared" ref="M11" si="1">+IF(AND(K11="",$K$4*B11&gt;100),0.05,0)</f>
        <v>0</v>
      </c>
      <c r="N11" s="49">
        <f t="shared" ref="N11" si="2">+ROUNDUP($K$4*B11*M11+L11,0)</f>
        <v>5</v>
      </c>
      <c r="O11" s="42">
        <f t="shared" ref="O11" si="3">+IF(OR(LEFT(I11&amp;"",1)="C",LEFT(I11&amp;"",1)="R"),ROUNDUP($K$4*B11+N11,-1),$K$4*B11+N11)</f>
        <v>30</v>
      </c>
    </row>
    <row r="12" spans="1:15" s="2" customFormat="1" ht="13" x14ac:dyDescent="0.25">
      <c r="A12" s="13"/>
      <c r="B12" s="46">
        <v>2</v>
      </c>
      <c r="C12" s="46" t="s">
        <v>30</v>
      </c>
      <c r="D12" s="56" t="s">
        <v>39</v>
      </c>
      <c r="E12" s="47" t="s">
        <v>50</v>
      </c>
      <c r="F12" s="47" t="s">
        <v>56</v>
      </c>
      <c r="G12" s="47" t="s">
        <v>79</v>
      </c>
      <c r="H12" s="47" t="s">
        <v>96</v>
      </c>
      <c r="I12" s="47" t="s">
        <v>113</v>
      </c>
      <c r="J12" s="47" t="s">
        <v>136</v>
      </c>
      <c r="K12" s="47" t="s">
        <v>57</v>
      </c>
      <c r="L12" s="49">
        <f>+IF(OR(K12="BGA",K12="FP",K12="TH"),1,IF($K$4*B12&lt;100,5,0))</f>
        <v>5</v>
      </c>
      <c r="M12" s="48">
        <f>+IF(AND(K12="",$K$4*B12&gt;100),0.05,0)</f>
        <v>0</v>
      </c>
      <c r="N12" s="49">
        <f>+ROUNDUP($K$4*B12*M12+L12,0)</f>
        <v>5</v>
      </c>
      <c r="O12" s="42">
        <f>+IF(OR(LEFT(I12&amp;"",1)="C",LEFT(I12&amp;"",1)="R"),ROUNDUP($K$4*B12+N12,-1),$K$4*B12+N12)</f>
        <v>30</v>
      </c>
    </row>
    <row r="13" spans="1:15" s="2" customFormat="1" ht="13" x14ac:dyDescent="0.25">
      <c r="A13" s="13"/>
      <c r="B13" s="46">
        <v>1</v>
      </c>
      <c r="C13" s="46" t="s">
        <v>31</v>
      </c>
      <c r="D13" s="56" t="s">
        <v>40</v>
      </c>
      <c r="E13" s="47" t="s">
        <v>50</v>
      </c>
      <c r="F13" s="47" t="s">
        <v>58</v>
      </c>
      <c r="G13" s="47" t="s">
        <v>80</v>
      </c>
      <c r="H13" s="47" t="s">
        <v>97</v>
      </c>
      <c r="I13" s="47" t="s">
        <v>114</v>
      </c>
      <c r="J13" s="47" t="s">
        <v>137</v>
      </c>
      <c r="K13" s="47"/>
      <c r="L13" s="49">
        <f>+IF(OR(K13="BGA",K13="FP",K13="TH"),1,IF($K$4*B13&lt;100,5,0))</f>
        <v>5</v>
      </c>
      <c r="M13" s="48">
        <f>+IF(AND(K13="",$K$4*B13&gt;100),0.05,0)</f>
        <v>0</v>
      </c>
      <c r="N13" s="49">
        <f>+ROUNDUP($K$4*B13*M13+L13,0)</f>
        <v>5</v>
      </c>
      <c r="O13" s="42">
        <f>+IF(OR(LEFT(I13&amp;"",1)="C",LEFT(I13&amp;"",1)="R"),ROUNDUP($K$4*B13+N13,-1),$K$4*B13+N13)</f>
        <v>15</v>
      </c>
    </row>
    <row r="14" spans="1:15" s="2" customFormat="1" ht="13" x14ac:dyDescent="0.25">
      <c r="A14" s="13"/>
      <c r="B14" s="46">
        <v>1</v>
      </c>
      <c r="C14" s="46" t="s">
        <v>31</v>
      </c>
      <c r="D14" s="56" t="s">
        <v>41</v>
      </c>
      <c r="E14" s="47" t="s">
        <v>50</v>
      </c>
      <c r="F14" s="47" t="s">
        <v>59</v>
      </c>
      <c r="G14" s="47" t="s">
        <v>80</v>
      </c>
      <c r="H14" s="47" t="s">
        <v>97</v>
      </c>
      <c r="I14" s="47" t="s">
        <v>115</v>
      </c>
      <c r="J14" s="47" t="s">
        <v>137</v>
      </c>
      <c r="K14" s="47"/>
      <c r="L14" s="49">
        <f t="shared" ref="L14" si="4">+IF(OR(K14="BGA",K14="FP",K14="TH"),1,IF($K$4*B14&lt;100,5,0))</f>
        <v>5</v>
      </c>
      <c r="M14" s="48">
        <f t="shared" ref="M14" si="5">+IF(AND(K14="",$K$4*B14&gt;100),0.05,0)</f>
        <v>0</v>
      </c>
      <c r="N14" s="49">
        <f t="shared" ref="N14" si="6">+ROUNDUP($K$4*B14*M14+L14,0)</f>
        <v>5</v>
      </c>
      <c r="O14" s="42">
        <f t="shared" ref="O14" si="7">+IF(OR(LEFT(I14&amp;"",1)="C",LEFT(I14&amp;"",1)="R"),ROUNDUP($K$4*B14+N14,-1),$K$4*B14+N14)</f>
        <v>15</v>
      </c>
    </row>
    <row r="15" spans="1:15" s="2" customFormat="1" ht="13" x14ac:dyDescent="0.25">
      <c r="A15" s="13"/>
      <c r="B15" s="46">
        <v>4</v>
      </c>
      <c r="C15" s="46" t="s">
        <v>28</v>
      </c>
      <c r="D15" s="56" t="s">
        <v>42</v>
      </c>
      <c r="E15" s="47" t="s">
        <v>50</v>
      </c>
      <c r="F15" s="47" t="s">
        <v>60</v>
      </c>
      <c r="G15" s="47" t="s">
        <v>81</v>
      </c>
      <c r="H15" s="47" t="s">
        <v>98</v>
      </c>
      <c r="I15" s="47" t="s">
        <v>116</v>
      </c>
      <c r="J15" s="47" t="s">
        <v>57</v>
      </c>
      <c r="K15" s="47" t="s">
        <v>146</v>
      </c>
      <c r="L15" s="49">
        <f>+IF(OR(K15="BGA",K15="FP",K15="TH"),1,IF($K$4*B15&lt;100,5,0))</f>
        <v>5</v>
      </c>
      <c r="M15" s="48">
        <f>+IF(AND(K15="",$K$4*B15&gt;100),0.05,0)</f>
        <v>0</v>
      </c>
      <c r="N15" s="49">
        <f>+ROUNDUP($K$4*B15*M15+L15,0)</f>
        <v>5</v>
      </c>
      <c r="O15" s="42">
        <f>+IF(OR(LEFT(I15&amp;"",1)="C",LEFT(I15&amp;"",1)="R"),ROUNDUP($K$4*B15+N15,-1),$K$4*B15+N15)</f>
        <v>45</v>
      </c>
    </row>
    <row r="16" spans="1:15" s="2" customFormat="1" ht="13" x14ac:dyDescent="0.25">
      <c r="A16" s="13"/>
      <c r="B16" s="46">
        <v>5</v>
      </c>
      <c r="C16" s="46"/>
      <c r="D16" s="56"/>
      <c r="E16" s="47" t="s">
        <v>51</v>
      </c>
      <c r="F16" s="47" t="s">
        <v>61</v>
      </c>
      <c r="G16" s="47" t="s">
        <v>82</v>
      </c>
      <c r="H16" s="47" t="s">
        <v>99</v>
      </c>
      <c r="I16" s="47" t="s">
        <v>117</v>
      </c>
      <c r="J16" s="47" t="s">
        <v>57</v>
      </c>
      <c r="K16" s="47" t="s">
        <v>146</v>
      </c>
      <c r="L16" s="49">
        <f t="shared" ref="L16" si="8">+IF(OR(K16="BGA",K16="FP",K16="TH"),1,IF($K$4*B16&lt;100,5,0))</f>
        <v>5</v>
      </c>
      <c r="M16" s="48">
        <f t="shared" ref="M16" si="9">+IF(AND(K16="",$K$4*B16&gt;100),0.05,0)</f>
        <v>0</v>
      </c>
      <c r="N16" s="49">
        <f t="shared" ref="N16" si="10">+ROUNDUP($K$4*B16*M16+L16,0)</f>
        <v>5</v>
      </c>
      <c r="O16" s="42">
        <f t="shared" ref="O16" si="11">+IF(OR(LEFT(I16&amp;"",1)="C",LEFT(I16&amp;"",1)="R"),ROUNDUP($K$4*B16+N16,-1),$K$4*B16+N16)</f>
        <v>55</v>
      </c>
    </row>
    <row r="17" spans="1:15" s="2" customFormat="1" ht="13" x14ac:dyDescent="0.25">
      <c r="A17" s="13"/>
      <c r="B17" s="46">
        <v>3</v>
      </c>
      <c r="C17" s="46" t="s">
        <v>28</v>
      </c>
      <c r="D17" s="56">
        <v>3358</v>
      </c>
      <c r="E17" s="47" t="s">
        <v>50</v>
      </c>
      <c r="F17" s="47" t="s">
        <v>62</v>
      </c>
      <c r="G17" s="47" t="s">
        <v>83</v>
      </c>
      <c r="H17" s="47" t="s">
        <v>99</v>
      </c>
      <c r="I17" s="47" t="s">
        <v>118</v>
      </c>
      <c r="J17" s="47" t="s">
        <v>57</v>
      </c>
      <c r="K17" s="47" t="s">
        <v>146</v>
      </c>
      <c r="L17" s="49">
        <f>+IF(OR(K17="BGA",K17="FP",K17="TH"),1,IF($K$4*B17&lt;100,5,0))</f>
        <v>5</v>
      </c>
      <c r="M17" s="48">
        <f>+IF(AND(K17="",$K$4*B17&gt;100),0.05,0)</f>
        <v>0</v>
      </c>
      <c r="N17" s="49">
        <f>+ROUNDUP($K$4*B17*M17+L17,0)</f>
        <v>5</v>
      </c>
      <c r="O17" s="42">
        <f>+IF(OR(LEFT(I17&amp;"",1)="C",LEFT(I17&amp;"",1)="R"),ROUNDUP($K$4*B17+N17,-1),$K$4*B17+N17)</f>
        <v>35</v>
      </c>
    </row>
    <row r="18" spans="1:15" s="2" customFormat="1" ht="13" x14ac:dyDescent="0.25">
      <c r="A18" s="13"/>
      <c r="B18" s="46">
        <v>2</v>
      </c>
      <c r="C18" s="46"/>
      <c r="D18" s="56"/>
      <c r="E18" s="47" t="s">
        <v>51</v>
      </c>
      <c r="F18" s="47" t="s">
        <v>63</v>
      </c>
      <c r="G18" s="47" t="s">
        <v>84</v>
      </c>
      <c r="H18" s="47" t="s">
        <v>99</v>
      </c>
      <c r="I18" s="47" t="s">
        <v>119</v>
      </c>
      <c r="J18" s="47" t="s">
        <v>57</v>
      </c>
      <c r="K18" s="47" t="s">
        <v>146</v>
      </c>
      <c r="L18" s="49">
        <f t="shared" ref="L18" si="12">+IF(OR(K18="BGA",K18="FP",K18="TH"),1,IF($K$4*B18&lt;100,5,0))</f>
        <v>5</v>
      </c>
      <c r="M18" s="48">
        <f t="shared" ref="M18" si="13">+IF(AND(K18="",$K$4*B18&gt;100),0.05,0)</f>
        <v>0</v>
      </c>
      <c r="N18" s="49">
        <f t="shared" ref="N18" si="14">+ROUNDUP($K$4*B18*M18+L18,0)</f>
        <v>5</v>
      </c>
      <c r="O18" s="42">
        <f t="shared" ref="O18" si="15">+IF(OR(LEFT(I18&amp;"",1)="C",LEFT(I18&amp;"",1)="R"),ROUNDUP($K$4*B18+N18,-1),$K$4*B18+N18)</f>
        <v>25</v>
      </c>
    </row>
    <row r="19" spans="1:15" s="2" customFormat="1" ht="13" x14ac:dyDescent="0.25">
      <c r="A19" s="13"/>
      <c r="B19" s="46">
        <v>2</v>
      </c>
      <c r="C19" s="46"/>
      <c r="D19" s="56"/>
      <c r="E19" s="47" t="s">
        <v>51</v>
      </c>
      <c r="F19" s="47" t="s">
        <v>64</v>
      </c>
      <c r="G19" s="47" t="s">
        <v>85</v>
      </c>
      <c r="H19" s="47" t="s">
        <v>99</v>
      </c>
      <c r="I19" s="47" t="s">
        <v>120</v>
      </c>
      <c r="J19" s="47" t="s">
        <v>57</v>
      </c>
      <c r="K19" s="47" t="s">
        <v>146</v>
      </c>
      <c r="L19" s="49">
        <f>+IF(OR(K19="BGA",K19="FP",K19="TH"),1,IF($K$4*B19&lt;100,5,0))</f>
        <v>5</v>
      </c>
      <c r="M19" s="48">
        <f>+IF(AND(K19="",$K$4*B19&gt;100),0.05,0)</f>
        <v>0</v>
      </c>
      <c r="N19" s="49">
        <f>+ROUNDUP($K$4*B19*M19+L19,0)</f>
        <v>5</v>
      </c>
      <c r="O19" s="42">
        <f>+IF(OR(LEFT(I19&amp;"",1)="C",LEFT(I19&amp;"",1)="R"),ROUNDUP($K$4*B19+N19,-1),$K$4*B19+N19)</f>
        <v>25</v>
      </c>
    </row>
    <row r="20" spans="1:15" s="2" customFormat="1" ht="13" x14ac:dyDescent="0.25">
      <c r="A20" s="13"/>
      <c r="B20" s="46">
        <v>1</v>
      </c>
      <c r="C20" s="46"/>
      <c r="D20" s="56"/>
      <c r="E20" s="47" t="s">
        <v>51</v>
      </c>
      <c r="F20" s="47" t="s">
        <v>65</v>
      </c>
      <c r="G20" s="47" t="s">
        <v>82</v>
      </c>
      <c r="H20" s="47" t="s">
        <v>99</v>
      </c>
      <c r="I20" s="47" t="s">
        <v>121</v>
      </c>
      <c r="J20" s="47" t="s">
        <v>57</v>
      </c>
      <c r="K20" s="47" t="s">
        <v>146</v>
      </c>
      <c r="L20" s="49">
        <f t="shared" ref="L20" si="16">+IF(OR(K20="BGA",K20="FP",K20="TH"),1,IF($K$4*B20&lt;100,5,0))</f>
        <v>5</v>
      </c>
      <c r="M20" s="48">
        <f t="shared" ref="M20" si="17">+IF(AND(K20="",$K$4*B20&gt;100),0.05,0)</f>
        <v>0</v>
      </c>
      <c r="N20" s="49">
        <f t="shared" ref="N20" si="18">+ROUNDUP($K$4*B20*M20+L20,0)</f>
        <v>5</v>
      </c>
      <c r="O20" s="42">
        <f t="shared" ref="O20" si="19">+IF(OR(LEFT(I20&amp;"",1)="C",LEFT(I20&amp;"",1)="R"),ROUNDUP($K$4*B20+N20,-1),$K$4*B20+N20)</f>
        <v>15</v>
      </c>
    </row>
    <row r="21" spans="1:15" s="2" customFormat="1" ht="20.5" x14ac:dyDescent="0.25">
      <c r="A21" s="13"/>
      <c r="B21" s="46">
        <v>1</v>
      </c>
      <c r="C21" s="46" t="s">
        <v>32</v>
      </c>
      <c r="D21" s="56" t="s">
        <v>43</v>
      </c>
      <c r="E21" s="47" t="s">
        <v>50</v>
      </c>
      <c r="F21" s="47" t="s">
        <v>66</v>
      </c>
      <c r="G21" s="47" t="s">
        <v>86</v>
      </c>
      <c r="H21" s="47" t="s">
        <v>100</v>
      </c>
      <c r="I21" s="47" t="s">
        <v>122</v>
      </c>
      <c r="J21" s="47" t="s">
        <v>138</v>
      </c>
      <c r="K21" s="47" t="s">
        <v>147</v>
      </c>
      <c r="L21" s="49">
        <f>+IF(OR(K21="BGA",K21="FP",K21="TH"),1,IF($K$4*B21&lt;100,5,0))</f>
        <v>1</v>
      </c>
      <c r="M21" s="48">
        <f>+IF(AND(K21="",$K$4*B21&gt;100),0.05,0)</f>
        <v>0</v>
      </c>
      <c r="N21" s="49">
        <f>+ROUNDUP($K$4*B21*M21+L21,0)</f>
        <v>1</v>
      </c>
      <c r="O21" s="42">
        <f>+IF(OR(LEFT(I21&amp;"",1)="C",LEFT(I21&amp;"",1)="R"),ROUNDUP($K$4*B21+N21,-1),$K$4*B21+N21)</f>
        <v>11</v>
      </c>
    </row>
    <row r="22" spans="1:15" s="2" customFormat="1" ht="13" x14ac:dyDescent="0.25">
      <c r="A22" s="13"/>
      <c r="B22" s="46">
        <v>1</v>
      </c>
      <c r="C22" s="46" t="s">
        <v>33</v>
      </c>
      <c r="D22" s="56" t="s">
        <v>44</v>
      </c>
      <c r="E22" s="47" t="s">
        <v>50</v>
      </c>
      <c r="F22" s="47" t="s">
        <v>67</v>
      </c>
      <c r="G22" s="47" t="s">
        <v>87</v>
      </c>
      <c r="H22" s="47" t="s">
        <v>101</v>
      </c>
      <c r="I22" s="47" t="s">
        <v>123</v>
      </c>
      <c r="J22" s="47" t="s">
        <v>139</v>
      </c>
      <c r="K22" s="47" t="s">
        <v>147</v>
      </c>
      <c r="L22" s="49">
        <f t="shared" ref="L22" si="20">+IF(OR(K22="BGA",K22="FP",K22="TH"),1,IF($K$4*B22&lt;100,5,0))</f>
        <v>1</v>
      </c>
      <c r="M22" s="48">
        <f t="shared" ref="M22" si="21">+IF(AND(K22="",$K$4*B22&gt;100),0.05,0)</f>
        <v>0</v>
      </c>
      <c r="N22" s="49">
        <f t="shared" ref="N22" si="22">+ROUNDUP($K$4*B22*M22+L22,0)</f>
        <v>1</v>
      </c>
      <c r="O22" s="42">
        <f t="shared" ref="O22" si="23">+IF(OR(LEFT(I22&amp;"",1)="C",LEFT(I22&amp;"",1)="R"),ROUNDUP($K$4*B22+N22,-1),$K$4*B22+N22)</f>
        <v>11</v>
      </c>
    </row>
    <row r="23" spans="1:15" s="2" customFormat="1" ht="13" x14ac:dyDescent="0.25">
      <c r="A23" s="13"/>
      <c r="B23" s="46">
        <v>1</v>
      </c>
      <c r="C23" s="46" t="s">
        <v>33</v>
      </c>
      <c r="D23" s="56" t="s">
        <v>149</v>
      </c>
      <c r="E23" s="47" t="s">
        <v>50</v>
      </c>
      <c r="F23" s="47" t="s">
        <v>150</v>
      </c>
      <c r="G23" s="47" t="s">
        <v>88</v>
      </c>
      <c r="H23" s="47" t="s">
        <v>102</v>
      </c>
      <c r="I23" s="47" t="s">
        <v>124</v>
      </c>
      <c r="J23" s="47" t="s">
        <v>140</v>
      </c>
      <c r="K23" s="47" t="s">
        <v>147</v>
      </c>
      <c r="L23" s="49">
        <f>+IF(OR(K23="BGA",K23="FP",K23="TH"),1,IF($K$4*B23&lt;100,5,0))</f>
        <v>1</v>
      </c>
      <c r="M23" s="48">
        <f>+IF(AND(K23="",$K$4*B23&gt;100),0.05,0)</f>
        <v>0</v>
      </c>
      <c r="N23" s="49">
        <f>+ROUNDUP($K$4*B23*M23+L23,0)</f>
        <v>1</v>
      </c>
      <c r="O23" s="42">
        <f>+IF(OR(LEFT(I23&amp;"",1)="C",LEFT(I23&amp;"",1)="R"),ROUNDUP($K$4*B23+N23,-1),$K$4*B23+N23)</f>
        <v>11</v>
      </c>
    </row>
    <row r="24" spans="1:15" s="2" customFormat="1" ht="30.5" x14ac:dyDescent="0.25">
      <c r="A24" s="13"/>
      <c r="B24" s="46">
        <v>4</v>
      </c>
      <c r="C24" s="46" t="s">
        <v>32</v>
      </c>
      <c r="D24" s="56" t="s">
        <v>45</v>
      </c>
      <c r="E24" s="47" t="s">
        <v>50</v>
      </c>
      <c r="F24" s="47" t="s">
        <v>68</v>
      </c>
      <c r="G24" s="47" t="s">
        <v>89</v>
      </c>
      <c r="H24" s="47" t="s">
        <v>103</v>
      </c>
      <c r="I24" s="47" t="s">
        <v>125</v>
      </c>
      <c r="J24" s="47" t="s">
        <v>141</v>
      </c>
      <c r="K24" s="47" t="s">
        <v>147</v>
      </c>
      <c r="L24" s="49">
        <f t="shared" ref="L24" si="24">+IF(OR(K24="BGA",K24="FP",K24="TH"),1,IF($K$4*B24&lt;100,5,0))</f>
        <v>1</v>
      </c>
      <c r="M24" s="48">
        <f t="shared" ref="M24" si="25">+IF(AND(K24="",$K$4*B24&gt;100),0.05,0)</f>
        <v>0</v>
      </c>
      <c r="N24" s="49">
        <f t="shared" ref="N24" si="26">+ROUNDUP($K$4*B24*M24+L24,0)</f>
        <v>1</v>
      </c>
      <c r="O24" s="42">
        <f t="shared" ref="O24" si="27">+IF(OR(LEFT(I24&amp;"",1)="C",LEFT(I24&amp;"",1)="R"),ROUNDUP($K$4*B24+N24,-1),$K$4*B24+N24)</f>
        <v>41</v>
      </c>
    </row>
    <row r="25" spans="1:15" s="2" customFormat="1" ht="13" x14ac:dyDescent="0.25">
      <c r="A25" s="13"/>
      <c r="B25" s="46">
        <v>4</v>
      </c>
      <c r="C25" s="46" t="s">
        <v>34</v>
      </c>
      <c r="D25" s="56">
        <v>1716070000</v>
      </c>
      <c r="E25" s="47" t="s">
        <v>50</v>
      </c>
      <c r="F25" s="47" t="s">
        <v>69</v>
      </c>
      <c r="G25" s="47" t="s">
        <v>90</v>
      </c>
      <c r="H25" s="47" t="s">
        <v>104</v>
      </c>
      <c r="I25" s="47" t="s">
        <v>126</v>
      </c>
      <c r="J25" s="47" t="s">
        <v>142</v>
      </c>
      <c r="K25" s="47" t="s">
        <v>147</v>
      </c>
      <c r="L25" s="49">
        <f>+IF(OR(K25="BGA",K25="FP",K25="TH"),1,IF($K$4*B25&lt;100,5,0))</f>
        <v>1</v>
      </c>
      <c r="M25" s="48">
        <f>+IF(AND(K25="",$K$4*B25&gt;100),0.05,0)</f>
        <v>0</v>
      </c>
      <c r="N25" s="49">
        <f>+ROUNDUP($K$4*B25*M25+L25,0)</f>
        <v>1</v>
      </c>
      <c r="O25" s="42">
        <f>+IF(OR(LEFT(I25&amp;"",1)="C",LEFT(I25&amp;"",1)="R"),ROUNDUP($K$4*B25+N25,-1),$K$4*B25+N25)</f>
        <v>41</v>
      </c>
    </row>
    <row r="26" spans="1:15" s="2" customFormat="1" ht="30.5" x14ac:dyDescent="0.25">
      <c r="A26" s="13"/>
      <c r="B26" s="46">
        <v>1</v>
      </c>
      <c r="C26" s="46" t="s">
        <v>32</v>
      </c>
      <c r="D26" s="56" t="s">
        <v>46</v>
      </c>
      <c r="E26" s="47" t="s">
        <v>50</v>
      </c>
      <c r="F26" s="47" t="s">
        <v>70</v>
      </c>
      <c r="G26" s="47" t="s">
        <v>91</v>
      </c>
      <c r="H26" s="47" t="s">
        <v>105</v>
      </c>
      <c r="I26" s="47" t="s">
        <v>127</v>
      </c>
      <c r="J26" s="47" t="s">
        <v>143</v>
      </c>
      <c r="K26" s="47" t="s">
        <v>147</v>
      </c>
      <c r="L26" s="49">
        <f t="shared" ref="L26" si="28">+IF(OR(K26="BGA",K26="FP",K26="TH"),1,IF($K$4*B26&lt;100,5,0))</f>
        <v>1</v>
      </c>
      <c r="M26" s="48">
        <f t="shared" ref="M26" si="29">+IF(AND(K26="",$K$4*B26&gt;100),0.05,0)</f>
        <v>0</v>
      </c>
      <c r="N26" s="49">
        <f t="shared" ref="N26" si="30">+ROUNDUP($K$4*B26*M26+L26,0)</f>
        <v>1</v>
      </c>
      <c r="O26" s="42">
        <f t="shared" ref="O26" si="31">+IF(OR(LEFT(I26&amp;"",1)="C",LEFT(I26&amp;"",1)="R"),ROUNDUP($K$4*B26+N26,-1),$K$4*B26+N26)</f>
        <v>11</v>
      </c>
    </row>
    <row r="27" spans="1:15" s="2" customFormat="1" ht="13" x14ac:dyDescent="0.25">
      <c r="A27" s="13"/>
      <c r="B27" s="46">
        <v>2</v>
      </c>
      <c r="C27" s="46" t="s">
        <v>35</v>
      </c>
      <c r="D27" s="56" t="s">
        <v>47</v>
      </c>
      <c r="E27" s="47" t="s">
        <v>50</v>
      </c>
      <c r="F27" s="47" t="s">
        <v>71</v>
      </c>
      <c r="G27" s="47" t="s">
        <v>22</v>
      </c>
      <c r="H27" s="47" t="s">
        <v>106</v>
      </c>
      <c r="I27" s="47" t="s">
        <v>128</v>
      </c>
      <c r="J27" s="47" t="s">
        <v>144</v>
      </c>
      <c r="K27" s="47" t="s">
        <v>57</v>
      </c>
      <c r="L27" s="49">
        <f>+IF(OR(K27="BGA",K27="FP",K27="TH"),1,IF($K$4*B27&lt;100,5,0))</f>
        <v>5</v>
      </c>
      <c r="M27" s="48">
        <f>+IF(AND(K27="",$K$4*B27&gt;100),0.05,0)</f>
        <v>0</v>
      </c>
      <c r="N27" s="49">
        <f>+ROUNDUP($K$4*B27*M27+L27,0)</f>
        <v>5</v>
      </c>
      <c r="O27" s="42">
        <f>+IF(OR(LEFT(I27&amp;"",1)="C",LEFT(I27&amp;"",1)="R"),ROUNDUP($K$4*B27+N27,-1),$K$4*B27+N27)</f>
        <v>30</v>
      </c>
    </row>
    <row r="28" spans="1:15" s="2" customFormat="1" ht="13" x14ac:dyDescent="0.25">
      <c r="A28" s="13"/>
      <c r="B28" s="46">
        <v>1</v>
      </c>
      <c r="C28" s="46" t="s">
        <v>36</v>
      </c>
      <c r="D28" s="56" t="s">
        <v>48</v>
      </c>
      <c r="E28" s="47" t="s">
        <v>52</v>
      </c>
      <c r="F28" s="47" t="s">
        <v>72</v>
      </c>
      <c r="G28" s="47" t="s">
        <v>92</v>
      </c>
      <c r="H28" s="47" t="s">
        <v>106</v>
      </c>
      <c r="I28" s="47" t="s">
        <v>129</v>
      </c>
      <c r="J28" s="47" t="s">
        <v>144</v>
      </c>
      <c r="K28" s="47"/>
      <c r="L28" s="49">
        <f t="shared" ref="L28" si="32">+IF(OR(K28="BGA",K28="FP",K28="TH"),1,IF($K$4*B28&lt;100,5,0))</f>
        <v>5</v>
      </c>
      <c r="M28" s="48">
        <f t="shared" ref="M28" si="33">+IF(AND(K28="",$K$4*B28&gt;100),0.05,0)</f>
        <v>0</v>
      </c>
      <c r="N28" s="49">
        <f t="shared" ref="N28" si="34">+ROUNDUP($K$4*B28*M28+L28,0)</f>
        <v>5</v>
      </c>
      <c r="O28" s="42">
        <f t="shared" ref="O28" si="35">+IF(OR(LEFT(I28&amp;"",1)="C",LEFT(I28&amp;"",1)="R"),ROUNDUP($K$4*B28+N28,-1),$K$4*B28+N28)</f>
        <v>20</v>
      </c>
    </row>
    <row r="29" spans="1:15" s="2" customFormat="1" ht="13" x14ac:dyDescent="0.25">
      <c r="A29" s="13"/>
      <c r="B29" s="46">
        <v>1</v>
      </c>
      <c r="C29" s="46" t="s">
        <v>28</v>
      </c>
      <c r="D29" s="56">
        <v>5005</v>
      </c>
      <c r="E29" s="47" t="s">
        <v>50</v>
      </c>
      <c r="F29" s="47" t="s">
        <v>73</v>
      </c>
      <c r="G29" s="47" t="s">
        <v>93</v>
      </c>
      <c r="H29" s="47" t="s">
        <v>107</v>
      </c>
      <c r="I29" s="47" t="s">
        <v>130</v>
      </c>
      <c r="J29" s="47" t="s">
        <v>130</v>
      </c>
      <c r="K29" s="47" t="s">
        <v>147</v>
      </c>
      <c r="L29" s="49">
        <f>+IF(OR(K29="BGA",K29="FP",K29="TH"),1,IF($K$4*B29&lt;100,5,0))</f>
        <v>1</v>
      </c>
      <c r="M29" s="48">
        <f>+IF(AND(K29="",$K$4*B29&gt;100),0.05,0)</f>
        <v>0</v>
      </c>
      <c r="N29" s="49">
        <f>+ROUNDUP($K$4*B29*M29+L29,0)</f>
        <v>1</v>
      </c>
      <c r="O29" s="42">
        <f>+IF(OR(LEFT(I29&amp;"",1)="C",LEFT(I29&amp;"",1)="R"),ROUNDUP($K$4*B29+N29,-1),$K$4*B29+N29)</f>
        <v>11</v>
      </c>
    </row>
    <row r="30" spans="1:15" s="2" customFormat="1" ht="13" x14ac:dyDescent="0.25">
      <c r="A30" s="13"/>
      <c r="B30" s="46">
        <v>2</v>
      </c>
      <c r="C30" s="46" t="s">
        <v>28</v>
      </c>
      <c r="D30" s="56">
        <v>5006</v>
      </c>
      <c r="E30" s="47" t="s">
        <v>50</v>
      </c>
      <c r="F30" s="47" t="s">
        <v>74</v>
      </c>
      <c r="G30" s="47" t="s">
        <v>93</v>
      </c>
      <c r="H30" s="47" t="s">
        <v>108</v>
      </c>
      <c r="I30" s="47" t="s">
        <v>131</v>
      </c>
      <c r="J30" s="47" t="s">
        <v>130</v>
      </c>
      <c r="K30" s="47" t="s">
        <v>147</v>
      </c>
      <c r="L30" s="49">
        <f t="shared" ref="L30" si="36">+IF(OR(K30="BGA",K30="FP",K30="TH"),1,IF($K$4*B30&lt;100,5,0))</f>
        <v>1</v>
      </c>
      <c r="M30" s="48">
        <f t="shared" ref="M30" si="37">+IF(AND(K30="",$K$4*B30&gt;100),0.05,0)</f>
        <v>0</v>
      </c>
      <c r="N30" s="49">
        <f t="shared" ref="N30" si="38">+ROUNDUP($K$4*B30*M30+L30,0)</f>
        <v>1</v>
      </c>
      <c r="O30" s="42">
        <f t="shared" ref="O30" si="39">+IF(OR(LEFT(I30&amp;"",1)="C",LEFT(I30&amp;"",1)="R"),ROUNDUP($K$4*B30+N30,-1),$K$4*B30+N30)</f>
        <v>21</v>
      </c>
    </row>
    <row r="31" spans="1:15" x14ac:dyDescent="0.25">
      <c r="A31" s="13"/>
      <c r="B31" s="46">
        <v>1</v>
      </c>
      <c r="C31" s="46" t="s">
        <v>28</v>
      </c>
      <c r="D31" s="56">
        <v>5007</v>
      </c>
      <c r="E31" s="47" t="s">
        <v>50</v>
      </c>
      <c r="F31" s="47" t="s">
        <v>75</v>
      </c>
      <c r="G31" s="47" t="s">
        <v>93</v>
      </c>
      <c r="H31" s="47" t="s">
        <v>109</v>
      </c>
      <c r="I31" s="47" t="s">
        <v>132</v>
      </c>
      <c r="J31" s="47" t="s">
        <v>130</v>
      </c>
      <c r="K31" s="47" t="s">
        <v>147</v>
      </c>
      <c r="L31" s="49">
        <f>+IF(OR(K31="BGA",K31="FP",K31="TH"),1,IF($K$4*B31&lt;100,5,0))</f>
        <v>1</v>
      </c>
      <c r="M31" s="48">
        <f>+IF(AND(K31="",$K$4*B31&gt;100),0.05,0)</f>
        <v>0</v>
      </c>
      <c r="N31" s="49">
        <f>+ROUNDUP($K$4*B31*M31+L31,0)</f>
        <v>1</v>
      </c>
      <c r="O31" s="42">
        <f>+IF(OR(LEFT(I31&amp;"",1)="C",LEFT(I31&amp;"",1)="R"),ROUNDUP($K$4*B31+N31,-1),$K$4*B31+N31)</f>
        <v>11</v>
      </c>
    </row>
    <row r="32" spans="1:15" x14ac:dyDescent="0.25">
      <c r="A32" s="14"/>
      <c r="B32" s="43">
        <f>SUM(B10:B31)</f>
        <v>43</v>
      </c>
      <c r="C32" s="50"/>
      <c r="D32" s="50"/>
      <c r="E32" s="44" t="s">
        <v>9</v>
      </c>
      <c r="F32" s="44"/>
      <c r="G32" s="44"/>
      <c r="H32" s="44"/>
      <c r="I32" s="45"/>
      <c r="J32" s="45"/>
      <c r="K32" s="44"/>
      <c r="L32" s="45"/>
      <c r="M32" s="45"/>
      <c r="N32" s="45"/>
      <c r="O32" s="45"/>
    </row>
    <row r="33" spans="2:9" x14ac:dyDescent="0.25">
      <c r="B33" s="1"/>
      <c r="C33" s="1"/>
      <c r="D33" s="1"/>
      <c r="E33" s="1"/>
    </row>
    <row r="34" spans="2:9" x14ac:dyDescent="0.25">
      <c r="B34" s="1"/>
      <c r="C34" s="1"/>
      <c r="D34" s="1"/>
      <c r="E34" s="1"/>
    </row>
    <row r="35" spans="2:9" x14ac:dyDescent="0.25">
      <c r="B35" s="1"/>
      <c r="C35" s="1"/>
      <c r="D35" s="1"/>
      <c r="E35" s="1"/>
    </row>
    <row r="36" spans="2:9" ht="17.5" x14ac:dyDescent="0.25">
      <c r="B36" s="1"/>
      <c r="C36" s="1"/>
      <c r="D36" s="1"/>
      <c r="E36" s="61" t="s">
        <v>8</v>
      </c>
      <c r="F36" s="62"/>
      <c r="G36" s="63"/>
      <c r="H36" s="20"/>
      <c r="I36" s="21"/>
    </row>
    <row r="37" spans="2:9" x14ac:dyDescent="0.25">
      <c r="E37" s="33" t="s">
        <v>3</v>
      </c>
      <c r="F37" s="34"/>
      <c r="G37" s="35">
        <f>COUNT(B10:B31)</f>
        <v>22</v>
      </c>
    </row>
    <row r="38" spans="2:9" x14ac:dyDescent="0.25">
      <c r="E38" s="16" t="s">
        <v>4</v>
      </c>
      <c r="F38" s="30"/>
      <c r="G38" s="28">
        <f>SUMIF($K$10:$K$31, "", $B$10:$B$31)</f>
        <v>9</v>
      </c>
    </row>
    <row r="39" spans="2:9" x14ac:dyDescent="0.25">
      <c r="E39" s="33" t="s">
        <v>5</v>
      </c>
      <c r="F39" s="34"/>
      <c r="G39" s="36">
        <f>SUMIF($K$10:$K$31, "TH", $B$10:$B$31)</f>
        <v>16</v>
      </c>
    </row>
    <row r="40" spans="2:9" x14ac:dyDescent="0.25">
      <c r="E40" s="16" t="s">
        <v>6</v>
      </c>
      <c r="F40" s="30"/>
      <c r="G40" s="28">
        <f>SUMIF($K$10:$K$31, "FP", $B$10:$B$31)</f>
        <v>0</v>
      </c>
    </row>
    <row r="41" spans="2:9" x14ac:dyDescent="0.25">
      <c r="E41" s="33" t="s">
        <v>7</v>
      </c>
      <c r="F41" s="34"/>
      <c r="G41" s="36">
        <f>SUMIF($K$10:$K$31, "BGA", $B$10:$B$31)</f>
        <v>0</v>
      </c>
    </row>
    <row r="42" spans="2:9" x14ac:dyDescent="0.25">
      <c r="E42" s="27" t="s">
        <v>16</v>
      </c>
      <c r="F42" s="31"/>
      <c r="G42" s="29">
        <f>SUMIF($K$10:$K$31, "M", $B$10:$B$31)</f>
        <v>18</v>
      </c>
    </row>
  </sheetData>
  <mergeCells count="3">
    <mergeCell ref="I4:J4"/>
    <mergeCell ref="G8:H8"/>
    <mergeCell ref="E36:G36"/>
  </mergeCells>
  <phoneticPr fontId="0" type="noConversion"/>
  <conditionalFormatting sqref="B10:N31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2025-07-30T18:59:58Z</dcterms:modified>
</cp:coreProperties>
</file>