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0" windowWidth="8592" windowHeight="7512" tabRatio="654"/>
  </bookViews>
  <sheets>
    <sheet name="flexure stress summary" sheetId="10" r:id="rId1"/>
    <sheet name="stress conc factors" sheetId="9" r:id="rId2"/>
    <sheet name="tension stress conc compare" sheetId="8" r:id="rId3"/>
    <sheet name="bending stress conc compare" sheetId="7" r:id="rId4"/>
    <sheet name="old summary" sheetId="1" r:id="rId5"/>
    <sheet name="ACB physical limiters" sheetId="6" r:id="rId6"/>
    <sheet name="baseline (wire)" sheetId="2" r:id="rId7"/>
    <sheet name="0.10&quot; dia 72lb" sheetId="3" r:id="rId8"/>
    <sheet name="0.10&quot; dia 20 lb" sheetId="4" r:id="rId9"/>
    <sheet name="0.15&quot; dia 153 lb" sheetId="5" r:id="rId10"/>
  </sheets>
  <definedNames>
    <definedName name="_xlnm.Print_Area" localSheetId="4">'old summary'!$A$1:$R$72</definedName>
  </definedNames>
  <calcPr calcId="145621" concurrentCalc="0"/>
</workbook>
</file>

<file path=xl/calcChain.xml><?xml version="1.0" encoding="utf-8"?>
<calcChain xmlns="http://schemas.openxmlformats.org/spreadsheetml/2006/main">
  <c r="R11" i="10" l="1"/>
  <c r="O11" i="10"/>
  <c r="M11" i="10"/>
  <c r="N11" i="10"/>
  <c r="P11" i="10"/>
  <c r="H11" i="10"/>
  <c r="I11" i="10"/>
  <c r="L11" i="10"/>
  <c r="Q11" i="10"/>
  <c r="S11" i="10"/>
  <c r="T11" i="10"/>
  <c r="U11" i="10"/>
  <c r="O16" i="10"/>
  <c r="O17" i="10"/>
  <c r="O18" i="10"/>
  <c r="O19" i="10"/>
  <c r="M19" i="10"/>
  <c r="N19" i="10"/>
  <c r="P19" i="10"/>
  <c r="R16" i="10"/>
  <c r="R17" i="10"/>
  <c r="R18" i="10"/>
  <c r="R19" i="10"/>
  <c r="I19" i="10"/>
  <c r="Q19" i="10"/>
  <c r="S19" i="10"/>
  <c r="T19" i="10"/>
  <c r="U19" i="10"/>
  <c r="M18" i="10"/>
  <c r="N18" i="10"/>
  <c r="P18" i="10"/>
  <c r="I18" i="10"/>
  <c r="Q18" i="10"/>
  <c r="S18" i="10"/>
  <c r="T18" i="10"/>
  <c r="U18" i="10"/>
  <c r="M17" i="10"/>
  <c r="N17" i="10"/>
  <c r="P17" i="10"/>
  <c r="I17" i="10"/>
  <c r="Q17" i="10"/>
  <c r="S17" i="10"/>
  <c r="T17" i="10"/>
  <c r="U17" i="10"/>
  <c r="M16" i="10"/>
  <c r="N16" i="10"/>
  <c r="P16" i="10"/>
  <c r="I16" i="10"/>
  <c r="Q16" i="10"/>
  <c r="S16" i="10"/>
  <c r="T16" i="10"/>
  <c r="U16" i="10"/>
  <c r="R13" i="10"/>
  <c r="R14" i="10"/>
  <c r="O13" i="10"/>
  <c r="O14" i="10"/>
  <c r="M14" i="10"/>
  <c r="N14" i="10"/>
  <c r="P14" i="10"/>
  <c r="I14" i="10"/>
  <c r="Q14" i="10"/>
  <c r="S14" i="10"/>
  <c r="T14" i="10"/>
  <c r="U14" i="10"/>
  <c r="M13" i="10"/>
  <c r="N13" i="10"/>
  <c r="P13" i="10"/>
  <c r="I13" i="10"/>
  <c r="Q13" i="10"/>
  <c r="S13" i="10"/>
  <c r="T13" i="10"/>
  <c r="U13" i="10"/>
  <c r="B12" i="9"/>
  <c r="E12" i="9"/>
  <c r="H12" i="9"/>
  <c r="P12" i="9"/>
  <c r="Q12" i="9"/>
  <c r="I12" i="9"/>
  <c r="R12" i="9"/>
  <c r="S12" i="9"/>
  <c r="T12" i="9"/>
  <c r="R15" i="10"/>
  <c r="F12" i="9"/>
  <c r="O12" i="9"/>
  <c r="O15" i="10"/>
  <c r="G12" i="9"/>
  <c r="J12" i="9"/>
  <c r="K12" i="9"/>
  <c r="L12" i="9"/>
  <c r="M12" i="9"/>
  <c r="N12" i="9"/>
  <c r="D12" i="9"/>
  <c r="C12" i="9"/>
  <c r="M15" i="10"/>
  <c r="N15" i="10"/>
  <c r="P15" i="10"/>
  <c r="I15" i="10"/>
  <c r="Q15" i="10"/>
  <c r="S15" i="10"/>
  <c r="T15" i="10"/>
  <c r="U15" i="10"/>
  <c r="R9" i="10"/>
  <c r="R12" i="10"/>
  <c r="O9" i="10"/>
  <c r="O12" i="10"/>
  <c r="M12" i="10"/>
  <c r="N12" i="10"/>
  <c r="P12" i="10"/>
  <c r="H12" i="10"/>
  <c r="I12" i="10"/>
  <c r="L12" i="10"/>
  <c r="Q12" i="10"/>
  <c r="S12" i="10"/>
  <c r="T12" i="10"/>
  <c r="U12" i="10"/>
  <c r="R10" i="10"/>
  <c r="O10" i="10"/>
  <c r="H9" i="10"/>
  <c r="I9" i="10"/>
  <c r="L9" i="10"/>
  <c r="Q9" i="10"/>
  <c r="S9" i="10"/>
  <c r="E11" i="9"/>
  <c r="D11" i="9"/>
  <c r="H11" i="9"/>
  <c r="P11" i="9"/>
  <c r="Q11" i="9"/>
  <c r="I11" i="9"/>
  <c r="R11" i="9"/>
  <c r="S11" i="9"/>
  <c r="T11" i="9"/>
  <c r="F11" i="9"/>
  <c r="G11" i="9"/>
  <c r="O11" i="9"/>
  <c r="J11" i="9"/>
  <c r="K11" i="9"/>
  <c r="L11" i="9"/>
  <c r="M11" i="9"/>
  <c r="N11" i="9"/>
  <c r="C11" i="9"/>
  <c r="B11" i="9"/>
  <c r="O8" i="10"/>
  <c r="M10" i="10"/>
  <c r="N10" i="10"/>
  <c r="P10" i="10"/>
  <c r="R8" i="10"/>
  <c r="H10" i="10"/>
  <c r="I10" i="10"/>
  <c r="L10" i="10"/>
  <c r="Q10" i="10"/>
  <c r="S10" i="10"/>
  <c r="T10" i="10"/>
  <c r="U10" i="10"/>
  <c r="P10" i="9"/>
  <c r="Q10" i="9"/>
  <c r="R10" i="9"/>
  <c r="S10" i="9"/>
  <c r="T10" i="9"/>
  <c r="O10" i="9"/>
  <c r="J10" i="9"/>
  <c r="K10" i="9"/>
  <c r="L10" i="9"/>
  <c r="M10" i="9"/>
  <c r="N10" i="9"/>
  <c r="I10" i="9"/>
  <c r="H10" i="9"/>
  <c r="G10" i="9"/>
  <c r="F10" i="9"/>
  <c r="E10" i="9"/>
  <c r="D10" i="9"/>
  <c r="C10" i="9"/>
  <c r="C9" i="9"/>
  <c r="B10" i="9"/>
  <c r="M9" i="10"/>
  <c r="N9" i="10"/>
  <c r="P9" i="10"/>
  <c r="T9" i="10"/>
  <c r="U9" i="10"/>
  <c r="H8" i="10"/>
  <c r="I8" i="10"/>
  <c r="M8" i="10"/>
  <c r="N8" i="10"/>
  <c r="P8" i="10"/>
  <c r="L8" i="10"/>
  <c r="Q8" i="10"/>
  <c r="S8" i="10"/>
  <c r="T8" i="10"/>
  <c r="U8" i="10"/>
  <c r="E9" i="9"/>
  <c r="H9" i="9"/>
  <c r="P9" i="9"/>
  <c r="Q9" i="9"/>
  <c r="I9" i="9"/>
  <c r="R9" i="9"/>
  <c r="S9" i="9"/>
  <c r="T9" i="9"/>
  <c r="R7" i="10"/>
  <c r="R6" i="10"/>
  <c r="F9" i="9"/>
  <c r="G9" i="9"/>
  <c r="O9" i="9"/>
  <c r="O7" i="10"/>
  <c r="O6" i="10"/>
  <c r="M6" i="10"/>
  <c r="N6" i="10"/>
  <c r="P6" i="10"/>
  <c r="H6" i="10"/>
  <c r="I6" i="10"/>
  <c r="L6" i="10"/>
  <c r="Q6" i="10"/>
  <c r="S6" i="10"/>
  <c r="T6" i="10"/>
  <c r="U6" i="10"/>
  <c r="M7" i="10"/>
  <c r="N7" i="10"/>
  <c r="P7" i="10"/>
  <c r="H7" i="10"/>
  <c r="I7" i="10"/>
  <c r="L7" i="10"/>
  <c r="Q7" i="10"/>
  <c r="S7" i="10"/>
  <c r="T7" i="10"/>
  <c r="U7" i="10"/>
  <c r="F11" i="7"/>
  <c r="H11" i="7"/>
  <c r="G11" i="7"/>
  <c r="I11" i="7"/>
  <c r="S11" i="7"/>
  <c r="B9" i="9"/>
  <c r="D9" i="9"/>
  <c r="B8" i="9"/>
  <c r="D8" i="9"/>
  <c r="G8" i="9"/>
  <c r="C8" i="9"/>
  <c r="E8" i="9"/>
  <c r="A7" i="7"/>
  <c r="A6" i="7"/>
  <c r="A3" i="7"/>
  <c r="A5" i="7"/>
  <c r="C11" i="7"/>
  <c r="D11" i="7"/>
  <c r="B11" i="7"/>
  <c r="A4" i="7"/>
  <c r="A8" i="7"/>
  <c r="G7" i="8"/>
  <c r="E7" i="8"/>
  <c r="D7" i="8"/>
  <c r="C7" i="8"/>
  <c r="H4" i="8"/>
  <c r="G4" i="8"/>
  <c r="F4" i="8"/>
  <c r="E4" i="8"/>
  <c r="B4" i="8"/>
  <c r="R22" i="1"/>
  <c r="R20" i="1"/>
  <c r="R21" i="1"/>
  <c r="Q20" i="1"/>
  <c r="H8" i="9"/>
  <c r="I8" i="9"/>
  <c r="F8" i="9"/>
  <c r="O8" i="9"/>
  <c r="P8" i="9"/>
  <c r="M8" i="9"/>
  <c r="L8" i="9"/>
  <c r="K8" i="9"/>
  <c r="J8" i="9"/>
  <c r="N8" i="9"/>
  <c r="K11" i="7"/>
  <c r="J21" i="1"/>
  <c r="L21" i="1"/>
  <c r="L20" i="1"/>
  <c r="K20" i="1"/>
  <c r="E9" i="1"/>
  <c r="C9" i="1"/>
  <c r="R8" i="9"/>
  <c r="S8" i="9"/>
  <c r="Q8" i="9"/>
  <c r="M9" i="9"/>
  <c r="L9" i="9"/>
  <c r="K9" i="9"/>
  <c r="J9" i="9"/>
  <c r="T8" i="9"/>
  <c r="O11" i="7"/>
  <c r="N11" i="7"/>
  <c r="P11" i="7"/>
  <c r="Q11" i="7"/>
  <c r="J11" i="7"/>
  <c r="L11" i="7"/>
  <c r="M11" i="7"/>
  <c r="K21" i="1"/>
  <c r="B20" i="6"/>
  <c r="B21" i="6"/>
  <c r="B22" i="6"/>
  <c r="G11" i="6"/>
  <c r="H11" i="6"/>
  <c r="E12" i="6"/>
  <c r="B19" i="6"/>
  <c r="I11" i="6"/>
  <c r="E11" i="6"/>
  <c r="N7" i="6"/>
  <c r="P7" i="6"/>
  <c r="Q7" i="6"/>
  <c r="C7" i="6"/>
  <c r="L7" i="6"/>
  <c r="M7" i="6"/>
  <c r="C6" i="6"/>
  <c r="L6" i="6"/>
  <c r="M6" i="6"/>
  <c r="Q30" i="1"/>
  <c r="P30" i="1"/>
  <c r="N30" i="1"/>
  <c r="B29" i="1"/>
  <c r="L29" i="1"/>
  <c r="M29" i="1"/>
  <c r="L19" i="1"/>
  <c r="K19" i="1"/>
  <c r="M30" i="1"/>
  <c r="L30" i="1"/>
  <c r="B30" i="1"/>
  <c r="T10" i="1"/>
  <c r="K18" i="1"/>
  <c r="K16" i="1"/>
  <c r="K26" i="1"/>
  <c r="G26" i="1"/>
  <c r="E26" i="1"/>
  <c r="K25" i="1"/>
  <c r="K24" i="1"/>
  <c r="G23" i="1"/>
  <c r="G24" i="1"/>
  <c r="G25" i="1"/>
  <c r="E23" i="1"/>
  <c r="E24" i="1"/>
  <c r="E25" i="1"/>
  <c r="K23" i="1"/>
  <c r="K22" i="1"/>
  <c r="H14" i="1"/>
  <c r="K14" i="1"/>
  <c r="N14" i="1"/>
  <c r="K13" i="1"/>
  <c r="K17" i="1"/>
  <c r="K15" i="1"/>
  <c r="S23" i="1"/>
  <c r="S14" i="1"/>
  <c r="S15" i="1"/>
  <c r="S17" i="1"/>
  <c r="S32" i="1"/>
  <c r="E8" i="1"/>
  <c r="E7" i="1"/>
  <c r="M14" i="1"/>
  <c r="G14" i="1"/>
  <c r="C8" i="1"/>
  <c r="C7" i="1"/>
  <c r="C6" i="1"/>
  <c r="V7" i="1"/>
  <c r="V4" i="1"/>
  <c r="T5" i="1"/>
  <c r="T6" i="1"/>
  <c r="T8" i="1"/>
  <c r="N9" i="9"/>
  <c r="G12" i="6"/>
  <c r="I12" i="6"/>
  <c r="B23" i="6"/>
  <c r="B24" i="6"/>
  <c r="H12" i="6"/>
  <c r="S34" i="1"/>
  <c r="S36" i="1"/>
  <c r="S35" i="1"/>
  <c r="S37" i="1"/>
  <c r="V6" i="1"/>
  <c r="V8" i="1"/>
  <c r="V5" i="1"/>
</calcChain>
</file>

<file path=xl/comments1.xml><?xml version="1.0" encoding="utf-8"?>
<comments xmlns="http://schemas.openxmlformats.org/spreadsheetml/2006/main">
  <authors>
    <author>coyne</author>
  </authors>
  <commentList>
    <comment ref="C9" authorId="0">
      <text>
        <r>
          <rPr>
            <b/>
            <sz val="9"/>
            <color indexed="81"/>
            <rFont val="Tahoma"/>
            <family val="2"/>
          </rPr>
          <t>coyne:</t>
        </r>
        <r>
          <rPr>
            <sz val="9"/>
            <color indexed="81"/>
            <rFont val="Tahoma"/>
            <family val="2"/>
          </rPr>
          <t xml:space="preserve">
the FEM applies lateral load to large spherical mass center, not the C.G. of the assembly</t>
        </r>
      </text>
    </comment>
  </commentList>
</comments>
</file>

<file path=xl/sharedStrings.xml><?xml version="1.0" encoding="utf-8"?>
<sst xmlns="http://schemas.openxmlformats.org/spreadsheetml/2006/main" count="327" uniqueCount="226">
  <si>
    <t>mass</t>
  </si>
  <si>
    <t>stress</t>
  </si>
  <si>
    <t>area</t>
  </si>
  <si>
    <t>in</t>
  </si>
  <si>
    <t>in^2</t>
  </si>
  <si>
    <t>lbs</t>
  </si>
  <si>
    <t>psi</t>
  </si>
  <si>
    <t>radius</t>
  </si>
  <si>
    <t>m</t>
  </si>
  <si>
    <t>m^2</t>
  </si>
  <si>
    <t>kg</t>
  </si>
  <si>
    <t>Pa</t>
  </si>
  <si>
    <t>ASTM A228 music wire (2 mm dia.)</t>
  </si>
  <si>
    <t>316 annealed bar</t>
  </si>
  <si>
    <t>Sandvik SAMMAC 304/304L bar</t>
  </si>
  <si>
    <t>diameter</t>
  </si>
  <si>
    <t>Material</t>
  </si>
  <si>
    <t>tensile</t>
  </si>
  <si>
    <t>yield (Pa)</t>
  </si>
  <si>
    <t>Ultimate (Pa)</t>
  </si>
  <si>
    <t>Flexure Design</t>
  </si>
  <si>
    <t>Mass (lb)</t>
  </si>
  <si>
    <t>material</t>
  </si>
  <si>
    <t>flexure</t>
  </si>
  <si>
    <t>music wire</t>
  </si>
  <si>
    <t>Factor of Safety
over yield</t>
  </si>
  <si>
    <t>clamped wire design</t>
  </si>
  <si>
    <t>ACB monolithic flexure</t>
  </si>
  <si>
    <t>FS too low</t>
  </si>
  <si>
    <t>comments</t>
  </si>
  <si>
    <t>more difficult to assemble
possible slippage at clamp</t>
  </si>
  <si>
    <t>CMB monolithic flexure</t>
  </si>
  <si>
    <t>yield (psi)</t>
  </si>
  <si>
    <t>Ultimate (psi)</t>
  </si>
  <si>
    <t>diameter
(in)</t>
  </si>
  <si>
    <t>length
(in)</t>
  </si>
  <si>
    <t>for the Arm Cavity Baffle (ACB) and the Cryo-pump/Manifold Baffle (CMB)</t>
  </si>
  <si>
    <t>Pendulum
Freq. (Hz)</t>
  </si>
  <si>
    <t>Elastic
Freq. (Hz)</t>
  </si>
  <si>
    <t>Nominal
Stress (Pa)</t>
  </si>
  <si>
    <t>Arm Cavity Baffle (suspended mass/assembly):</t>
  </si>
  <si>
    <t>Simple Model:</t>
  </si>
  <si>
    <t>Monolithic Flexure Design</t>
  </si>
  <si>
    <t>Pendulum Length, L (m)</t>
  </si>
  <si>
    <t>Simple pendulum frequency (Hz)</t>
  </si>
  <si>
    <t>r (m)</t>
  </si>
  <si>
    <t>E (Pa)</t>
  </si>
  <si>
    <t>M (kg)</t>
  </si>
  <si>
    <t>flexure length, l (m)</t>
  </si>
  <si>
    <t>g (m/s^2)</t>
  </si>
  <si>
    <t>frequency of pendulum with torsion spring (Hz)</t>
  </si>
  <si>
    <t>effective elastic, rotational spring constant</t>
  </si>
  <si>
    <t>rotational spring constant, k1</t>
  </si>
  <si>
    <t>translational spring constant, k2*l^2</t>
  </si>
  <si>
    <t>Peak
Stress (Pa)</t>
  </si>
  <si>
    <t>FS is only 2.51 with 304/304L</t>
  </si>
  <si>
    <t>FS is only 2.57 with 304/304L</t>
  </si>
  <si>
    <t>fillet
radius (in)</t>
  </si>
  <si>
    <t>FS is 3.01 with 304/304L</t>
  </si>
  <si>
    <t>The effect of the flexure's elastic restoring force on the pendulum frequency was calculated using ANSYS11 Workbench (modal with prestress and confirmed with dynamic analysis with gravitational acceleration).
The "elastic frequency" given below is the frequency without a graqvitational restoring force. The "pendulum" frequency includes the effect of gravity and the elastic stiffness of the flexure.</t>
  </si>
  <si>
    <t>FS on yield</t>
  </si>
  <si>
    <t>added for version -v3</t>
  </si>
  <si>
    <t>D1200781-v1 ACB flexure
mass is based on D1200580-x0, SLC 1 Hole ACB Assy (BSC3)</t>
  </si>
  <si>
    <t>Stress due to Static Mass</t>
  </si>
  <si>
    <t>Bending stress (Pa)</t>
  </si>
  <si>
    <t>Flexure Bending: set by the limiters of the ACB assembly:</t>
  </si>
  <si>
    <t>lower: 0.373" dia rod within a 0.500" hole at a distance of 11.762" from the lower end of the flexure</t>
  </si>
  <si>
    <t>upper: 0.373" dia rod within a 0.620" hole at a distance of 2.202" from the lower end of the flexure</t>
  </si>
  <si>
    <t>rad</t>
  </si>
  <si>
    <t>C.G. displacement</t>
  </si>
  <si>
    <t>Factor of Safety
over ultimate</t>
  </si>
  <si>
    <t>g</t>
  </si>
  <si>
    <t>r</t>
  </si>
  <si>
    <t>alpha</t>
  </si>
  <si>
    <t>Upper Limiter</t>
  </si>
  <si>
    <t>rod dia (in)</t>
  </si>
  <si>
    <t>hole dia (in)</t>
  </si>
  <si>
    <t>gap (in)</t>
  </si>
  <si>
    <t>dist from flexure (in)</t>
  </si>
  <si>
    <t>angle (rad)</t>
  </si>
  <si>
    <t>C.G. Displ (in)</t>
  </si>
  <si>
    <t>angle (deg)</t>
  </si>
  <si>
    <t>Lower Limiter</t>
  </si>
  <si>
    <t>Lower Limiter max swing along axis (instead of perpendicular to axis)</t>
  </si>
  <si>
    <t>R1</t>
  </si>
  <si>
    <t>gap between rod and hole</t>
  </si>
  <si>
    <t>distance from flexure to lower perimeter of hole in SLC upper tube</t>
  </si>
  <si>
    <t>a1</t>
  </si>
  <si>
    <t xml:space="preserve">angle from vertical axis to line from flexure to lower perimeter of hole in SLC upper tube </t>
  </si>
  <si>
    <t>a2</t>
  </si>
  <si>
    <t>angle from line for a1 to line from flexure to point at which tube interferes with rod when flexure is bent</t>
  </si>
  <si>
    <t>deg</t>
  </si>
  <si>
    <t>SLC upper tube outer radius</t>
  </si>
  <si>
    <t>SO, THE LOWER LIMITER IS MORE RESTRICTIVE THAN UPPER LIMITER IN THE DIRECTION ALONG THE ROD AXIS -- BUT NOT VERY RESTRICTIVE</t>
  </si>
  <si>
    <t>maraging C250</t>
  </si>
  <si>
    <t>Maraging C250 (16mm dia bar)</t>
  </si>
  <si>
    <t>Apply lateral force at C.G. to effect a free swing by bending the flexure</t>
  </si>
  <si>
    <t>Determine maximum flexure bending stress vs lateral C.G. deflection</t>
  </si>
  <si>
    <t>Add bending stress to extensional stress for total stress</t>
  </si>
  <si>
    <t>Compare C.G. lateral deflection to motion limit constraints</t>
  </si>
  <si>
    <t>Force (N)</t>
  </si>
  <si>
    <t>N.B.: The force is for a gravity-free environment, i.e. the force required to lift the mass is not included</t>
  </si>
  <si>
    <t>C.G. Lateral
Defl. (mm)</t>
  </si>
  <si>
    <r>
      <t xml:space="preserve">W. Pilkey &amp; D.F. Pilkey, </t>
    </r>
    <r>
      <rPr>
        <u/>
        <sz val="14"/>
        <color theme="1"/>
        <rFont val="Calibri"/>
        <family val="2"/>
        <scheme val="minor"/>
      </rPr>
      <t>Peterson's Stress Concentration Factors</t>
    </r>
    <r>
      <rPr>
        <sz val="14"/>
        <color theme="1"/>
        <rFont val="Calibri"/>
        <family val="2"/>
        <scheme val="minor"/>
      </rPr>
      <t>, 3rd ed., John Wiley, cr 2008</t>
    </r>
  </si>
  <si>
    <t>Kt</t>
  </si>
  <si>
    <t>D/d</t>
  </si>
  <si>
    <t>r/d</t>
  </si>
  <si>
    <r>
      <rPr>
        <sz val="11"/>
        <color theme="1"/>
        <rFont val="Symbol"/>
        <family val="1"/>
        <charset val="2"/>
      </rPr>
      <t>j</t>
    </r>
    <r>
      <rPr>
        <sz val="11"/>
        <color theme="1"/>
        <rFont val="Calibri"/>
        <family val="2"/>
        <scheme val="minor"/>
      </rPr>
      <t xml:space="preserve"> (deg)</t>
    </r>
  </si>
  <si>
    <t>D (in)</t>
  </si>
  <si>
    <t>d (in)</t>
  </si>
  <si>
    <t>r (in)</t>
  </si>
  <si>
    <t>Comparison of FEA stress to Calculated Stress for D1200781-v1 ACB Flexure</t>
  </si>
  <si>
    <t>M (lb)</t>
  </si>
  <si>
    <t>A (in^2)</t>
  </si>
  <si>
    <t>Max
Stress
(Pa)</t>
  </si>
  <si>
    <t>Calculated</t>
  </si>
  <si>
    <t>FEA</t>
  </si>
  <si>
    <t>error</t>
  </si>
  <si>
    <t>FEA:</t>
  </si>
  <si>
    <t>Length from flexure root
to C.G.</t>
  </si>
  <si>
    <t>flexure length</t>
  </si>
  <si>
    <t>F (N)</t>
  </si>
  <si>
    <t>C.G. Deflection
(mm)</t>
  </si>
  <si>
    <t>Equiv. Moment
on flexure</t>
  </si>
  <si>
    <r>
      <rPr>
        <sz val="11"/>
        <color theme="1"/>
        <rFont val="Symbol"/>
        <family val="1"/>
        <charset val="2"/>
      </rPr>
      <t>q</t>
    </r>
    <r>
      <rPr>
        <sz val="11"/>
        <color theme="1"/>
        <rFont val="Calibri"/>
        <family val="2"/>
        <scheme val="minor"/>
      </rPr>
      <t xml:space="preserve"> (rad)</t>
    </r>
  </si>
  <si>
    <t>E, elastic modulus (Pa)</t>
  </si>
  <si>
    <t>d, flexure cross-section dia. (m)</t>
  </si>
  <si>
    <t>I, flexure cross-sectional moment of inertia (m^4)</t>
  </si>
  <si>
    <t>M (N-m)</t>
  </si>
  <si>
    <t>L (m)</t>
  </si>
  <si>
    <t>(m)</t>
  </si>
  <si>
    <t>Deflection</t>
  </si>
  <si>
    <t>Slope</t>
  </si>
  <si>
    <t>from
Shear</t>
  </si>
  <si>
    <t>from
Moment</t>
  </si>
  <si>
    <t>Total</t>
  </si>
  <si>
    <t>Flexure
from
Shear</t>
  </si>
  <si>
    <t>Flexure
from
Moment</t>
  </si>
  <si>
    <t>Total
@ C.G.</t>
  </si>
  <si>
    <t>error
vs
FEA</t>
  </si>
  <si>
    <t xml:space="preserve"> --</t>
  </si>
  <si>
    <t>(mm)</t>
  </si>
  <si>
    <t>Length from
payload center
to flexure root</t>
  </si>
  <si>
    <t>Basic
stress</t>
  </si>
  <si>
    <t>(Pa)</t>
  </si>
  <si>
    <t>Concentration
Factor</t>
  </si>
  <si>
    <t>Max
Stress</t>
  </si>
  <si>
    <t>Nominal
Bending Stress
(Pa)</t>
  </si>
  <si>
    <t>Max.
Bending Stress
(Pa)</t>
  </si>
  <si>
    <t>Bending Stress</t>
  </si>
  <si>
    <t>Force at
payload
center</t>
  </si>
  <si>
    <t>D, flexure root dia. (m)</t>
  </si>
  <si>
    <t>r, flexure fillet radius (m)</t>
  </si>
  <si>
    <t>Flexure</t>
  </si>
  <si>
    <t>D (m)</t>
  </si>
  <si>
    <t>d (m)</t>
  </si>
  <si>
    <t>h (m)</t>
  </si>
  <si>
    <t>2h/D</t>
  </si>
  <si>
    <t>h/r</t>
  </si>
  <si>
    <t>K1</t>
  </si>
  <si>
    <t>K2</t>
  </si>
  <si>
    <t>K3</t>
  </si>
  <si>
    <t>K4</t>
  </si>
  <si>
    <t>k</t>
  </si>
  <si>
    <t>axial tension</t>
  </si>
  <si>
    <t>bending</t>
  </si>
  <si>
    <t>D1200781-v2a</t>
  </si>
  <si>
    <t>D1200781-v2b</t>
  </si>
  <si>
    <t>notes</t>
  </si>
  <si>
    <t>using flexure root diameter</t>
  </si>
  <si>
    <t>using flexure facet-to-facet dimension</t>
  </si>
  <si>
    <t>W.C. Young, Roark's Formulas, Table 37, Case 17a</t>
  </si>
  <si>
    <t>Ref. 1</t>
  </si>
  <si>
    <t>Ref. 2</t>
  </si>
  <si>
    <t>W. Pilkey &amp; D.F. Pilkey, Peterson's Stress Concentration Factors, 3rd ed., John Wiley, cr 2008</t>
  </si>
  <si>
    <t>Ref. 3</t>
  </si>
  <si>
    <t>W.C. Young, Roark's Formulas, Table 37, Case 17b</t>
  </si>
  <si>
    <r>
      <t xml:space="preserve">Ref. 3 </t>
    </r>
    <r>
      <rPr>
        <sz val="12"/>
        <color rgb="FFFF0000"/>
        <rFont val="Calibri"/>
        <family val="2"/>
        <scheme val="minor"/>
      </rPr>
      <t>*</t>
    </r>
  </si>
  <si>
    <r>
      <rPr>
        <sz val="14"/>
        <color rgb="FFFF0000"/>
        <rFont val="Calibri"/>
        <family val="2"/>
        <scheme val="minor"/>
      </rPr>
      <t>*</t>
    </r>
    <r>
      <rPr>
        <sz val="11"/>
        <color theme="1"/>
        <rFont val="Calibri"/>
        <family val="2"/>
        <scheme val="minor"/>
      </rPr>
      <t xml:space="preserve"> Ref. 3 matches FEA results best (see "stress conc bar with fillet" tab)</t>
    </r>
  </si>
  <si>
    <t>Stress Concentration Factors for Flexures</t>
  </si>
  <si>
    <t>Stress Summary for SLC Flexures</t>
  </si>
  <si>
    <t>SLC Assembly</t>
  </si>
  <si>
    <t>D#</t>
  </si>
  <si>
    <t>Name</t>
  </si>
  <si>
    <t>Flexure D#</t>
  </si>
  <si>
    <t>Bending Limit gap</t>
  </si>
  <si>
    <t>D1200781-v2</t>
  </si>
  <si>
    <t>Stress
Conc.
Factor</t>
  </si>
  <si>
    <t>Extensional Stress</t>
  </si>
  <si>
    <t>f (m)</t>
  </si>
  <si>
    <t>yield
stress
(Pa)</t>
  </si>
  <si>
    <t>Mass
(lb)</t>
  </si>
  <si>
    <t>A
(in^2)</t>
  </si>
  <si>
    <t>gap
(in)</t>
  </si>
  <si>
    <t>elastic
modulus
(Pa)</t>
  </si>
  <si>
    <r>
      <rPr>
        <b/>
        <sz val="11"/>
        <color theme="1"/>
        <rFont val="Brush Script MT"/>
        <family val="4"/>
      </rPr>
      <t>l</t>
    </r>
    <r>
      <rPr>
        <b/>
        <sz val="11"/>
        <color theme="1"/>
        <rFont val="Calibri"/>
        <family val="2"/>
        <scheme val="minor"/>
      </rPr>
      <t xml:space="preserve"> 
(in)</t>
    </r>
  </si>
  <si>
    <t>slope
(rad)</t>
  </si>
  <si>
    <t>316 SS</t>
  </si>
  <si>
    <t>Yield Factor
of
Safety</t>
  </si>
  <si>
    <t>D1200781-v1</t>
  </si>
  <si>
    <t>D1200275-v2</t>
  </si>
  <si>
    <t>D1002340-v3</t>
  </si>
  <si>
    <t>D1101885-v3</t>
  </si>
  <si>
    <t>ITM Elliptical Baffle Suspension Assy</t>
  </si>
  <si>
    <t>ITM ACB Suspension Assy</t>
  </si>
  <si>
    <t>distance
(in)</t>
  </si>
  <si>
    <t>D1002340-v3
except 0.135" dia</t>
  </si>
  <si>
    <t>Notes:</t>
  </si>
  <si>
    <t>1) The minimum Factor of Safety on yield, FS = 1.8 (per section 3.4.2 of E010613-v2)</t>
  </si>
  <si>
    <t>D1002340-v3
except d=0.135"</t>
  </si>
  <si>
    <t>2) In the ITM ACB and ITM Elliptical Baffle Suspension Assemblies, the flexure bending is limited by the D1001120-v2, Earthquake Stop Ring, which limits the motion of the D1002612-v2, Upper Tube</t>
  </si>
  <si>
    <t>3) The torsional stress has not been calculated here! The torsional deflection of the ACB &amp; ITM Elliptical Baffle is limited by D1002561 () and D1201235 ()</t>
  </si>
  <si>
    <t>D1001970-v3</t>
  </si>
  <si>
    <t>302 SS</t>
  </si>
  <si>
    <t>304 SS</t>
  </si>
  <si>
    <t>D0902617-v3
D1003228-v2
D1003181-v2</t>
  </si>
  <si>
    <t>Manifold Cryopump Baffle Assy, ITM
Manifold Cryopump Baffle Assy, ETMy H1
Manifold Cryopump Baffle Assy, ETMx H1</t>
  </si>
  <si>
    <t>max
d 
(in)</t>
  </si>
  <si>
    <t>Combined
Max Normal
Stress (Pa)</t>
  </si>
  <si>
    <t>4) yield stress values for 302, 304 and 316 SS are for bar in annealed condition. While strain/work hardened SS could be used, residual stresses are likely to cause distortion during machining</t>
  </si>
  <si>
    <t>410 SS, annealed</t>
  </si>
  <si>
    <t xml:space="preserve">410 SS, tempered at 453°C </t>
  </si>
  <si>
    <t>D1001970-v3
except material change</t>
  </si>
  <si>
    <t xml:space="preserve">414 SS, tempered at 453°C </t>
  </si>
  <si>
    <t>5) Note that of the heat-treatable, martensitic stainless steel 400 series, all are permitted in the LIGO UHV except (a) 416 because of high sulfur content and (b) 414 must be reviewed</t>
  </si>
  <si>
    <t>D1002340-v3
except material 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</si>
</sst>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
    <numFmt numFmtId="167" formatCode="0.0%"/>
  </numFmts>
  <fonts count="16" x14ac:knownFonts="1">
    <font>
      <sz val="11"/>
      <color theme="1"/>
      <name val="Calibri"/>
      <family val="2"/>
      <scheme val="minor"/>
    </font>
    <font>
      <sz val="12"/>
      <color theme="1"/>
      <name val="Calibri"/>
      <family val="2"/>
      <scheme val="minor"/>
    </font>
    <font>
      <b/>
      <sz val="11"/>
      <color theme="1"/>
      <name val="Calibri"/>
      <family val="2"/>
      <scheme val="minor"/>
    </font>
    <font>
      <b/>
      <sz val="18"/>
      <color theme="1"/>
      <name val="Calibri"/>
      <family val="2"/>
      <scheme val="minor"/>
    </font>
    <font>
      <b/>
      <sz val="12"/>
      <color theme="1"/>
      <name val="Calibri"/>
      <family val="2"/>
      <scheme val="minor"/>
    </font>
    <font>
      <b/>
      <sz val="11"/>
      <color rgb="FFFF0000"/>
      <name val="Calibri"/>
      <family val="2"/>
      <scheme val="minor"/>
    </font>
    <font>
      <sz val="12"/>
      <color rgb="FFFF0000"/>
      <name val="Calibri"/>
      <family val="2"/>
      <scheme val="minor"/>
    </font>
    <font>
      <sz val="14"/>
      <color theme="1"/>
      <name val="Calibri"/>
      <family val="2"/>
      <scheme val="minor"/>
    </font>
    <font>
      <u/>
      <sz val="14"/>
      <color theme="1"/>
      <name val="Calibri"/>
      <family val="2"/>
      <scheme val="minor"/>
    </font>
    <font>
      <sz val="11"/>
      <color theme="1"/>
      <name val="Symbol"/>
      <family val="1"/>
      <charset val="2"/>
    </font>
    <font>
      <sz val="9"/>
      <color indexed="81"/>
      <name val="Tahoma"/>
      <family val="2"/>
    </font>
    <font>
      <b/>
      <sz val="9"/>
      <color indexed="81"/>
      <name val="Tahoma"/>
      <family val="2"/>
    </font>
    <font>
      <sz val="14"/>
      <color rgb="FFFF0000"/>
      <name val="Calibri"/>
      <family val="2"/>
      <scheme val="minor"/>
    </font>
    <font>
      <b/>
      <i/>
      <sz val="20"/>
      <color theme="9" tint="-0.249977111117893"/>
      <name val="Calibri"/>
      <family val="2"/>
      <scheme val="minor"/>
    </font>
    <font>
      <b/>
      <sz val="11"/>
      <color theme="1"/>
      <name val="Brush Script MT"/>
      <family val="4"/>
    </font>
    <font>
      <sz val="11"/>
      <color rgb="FFFF000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35">
    <xf numFmtId="0" fontId="0" fillId="0" borderId="0" xfId="0"/>
    <xf numFmtId="11" fontId="0" fillId="0" borderId="0" xfId="0" applyNumberFormat="1"/>
    <xf numFmtId="2" fontId="0" fillId="0" borderId="0" xfId="0" applyNumberFormat="1"/>
    <xf numFmtId="0" fontId="2" fillId="0" borderId="0" xfId="0" applyFont="1"/>
    <xf numFmtId="0" fontId="2" fillId="0" borderId="1" xfId="0" applyFont="1" applyBorder="1"/>
    <xf numFmtId="2" fontId="2" fillId="0" borderId="1" xfId="0" applyNumberFormat="1" applyFont="1" applyBorder="1" applyAlignment="1">
      <alignment wrapText="1"/>
    </xf>
    <xf numFmtId="0" fontId="0" fillId="0" borderId="1" xfId="0" applyBorder="1"/>
    <xf numFmtId="11" fontId="0" fillId="0" borderId="1" xfId="0" applyNumberFormat="1" applyBorder="1"/>
    <xf numFmtId="2" fontId="0" fillId="0" borderId="1" xfId="0" applyNumberFormat="1" applyBorder="1"/>
    <xf numFmtId="0" fontId="0" fillId="0" borderId="1" xfId="0" applyFill="1" applyBorder="1"/>
    <xf numFmtId="164" fontId="0" fillId="0" borderId="0" xfId="0" applyNumberFormat="1"/>
    <xf numFmtId="164" fontId="0" fillId="0" borderId="0" xfId="0" applyNumberFormat="1" applyFill="1"/>
    <xf numFmtId="164" fontId="2" fillId="0" borderId="1" xfId="0" applyNumberFormat="1" applyFont="1" applyBorder="1"/>
    <xf numFmtId="164" fontId="0" fillId="0" borderId="1" xfId="0" applyNumberFormat="1" applyBorder="1"/>
    <xf numFmtId="0" fontId="0" fillId="0" borderId="1" xfId="0" applyBorder="1" applyAlignment="1">
      <alignment wrapText="1"/>
    </xf>
    <xf numFmtId="0" fontId="2" fillId="0" borderId="1" xfId="0" applyFont="1" applyBorder="1" applyAlignment="1">
      <alignment wrapText="1"/>
    </xf>
    <xf numFmtId="11" fontId="0" fillId="0" borderId="1" xfId="0" applyNumberFormat="1" applyFill="1" applyBorder="1"/>
    <xf numFmtId="165" fontId="0" fillId="0" borderId="1" xfId="0" applyNumberFormat="1" applyBorder="1"/>
    <xf numFmtId="165" fontId="0" fillId="0" borderId="1" xfId="0" applyNumberFormat="1" applyFill="1" applyBorder="1"/>
    <xf numFmtId="2" fontId="2" fillId="0" borderId="0" xfId="0" applyNumberFormat="1" applyFont="1"/>
    <xf numFmtId="0" fontId="3" fillId="0" borderId="0" xfId="0" applyFont="1"/>
    <xf numFmtId="164" fontId="3" fillId="0" borderId="0" xfId="0" applyNumberFormat="1" applyFont="1"/>
    <xf numFmtId="2" fontId="3" fillId="0" borderId="0" xfId="0" applyNumberFormat="1" applyFont="1"/>
    <xf numFmtId="0" fontId="2" fillId="0" borderId="0" xfId="0" applyFont="1" applyBorder="1"/>
    <xf numFmtId="0" fontId="0" fillId="0" borderId="0" xfId="0" applyBorder="1" applyAlignment="1">
      <alignment wrapText="1"/>
    </xf>
    <xf numFmtId="0" fontId="0" fillId="0" borderId="0" xfId="0" applyBorder="1"/>
    <xf numFmtId="164" fontId="4" fillId="0" borderId="0" xfId="0" applyNumberFormat="1" applyFont="1"/>
    <xf numFmtId="11" fontId="0" fillId="0" borderId="0" xfId="0" applyNumberFormat="1" applyBorder="1"/>
    <xf numFmtId="0" fontId="0" fillId="0" borderId="0" xfId="0" applyFill="1" applyBorder="1"/>
    <xf numFmtId="165" fontId="0" fillId="0" borderId="0" xfId="0" applyNumberFormat="1" applyFill="1" applyBorder="1"/>
    <xf numFmtId="164" fontId="0" fillId="0" borderId="0" xfId="0" applyNumberFormat="1" applyBorder="1"/>
    <xf numFmtId="2" fontId="0" fillId="0" borderId="0" xfId="0" applyNumberFormat="1" applyBorder="1"/>
    <xf numFmtId="165" fontId="0" fillId="0" borderId="0" xfId="0" applyNumberFormat="1" applyBorder="1"/>
    <xf numFmtId="11" fontId="2" fillId="0" borderId="0" xfId="0" applyNumberFormat="1" applyFont="1" applyBorder="1" applyAlignment="1">
      <alignment horizontal="center"/>
    </xf>
    <xf numFmtId="164" fontId="2" fillId="0" borderId="1" xfId="0" applyNumberFormat="1" applyFont="1" applyBorder="1" applyAlignment="1">
      <alignment wrapText="1"/>
    </xf>
    <xf numFmtId="0" fontId="0" fillId="2" borderId="1" xfId="0" applyFill="1" applyBorder="1"/>
    <xf numFmtId="165" fontId="0" fillId="2" borderId="1" xfId="0" applyNumberFormat="1" applyFill="1" applyBorder="1"/>
    <xf numFmtId="164" fontId="0" fillId="2" borderId="1" xfId="0" applyNumberFormat="1" applyFill="1" applyBorder="1"/>
    <xf numFmtId="2" fontId="0" fillId="2" borderId="1" xfId="0" applyNumberFormat="1" applyFill="1" applyBorder="1"/>
    <xf numFmtId="11" fontId="0" fillId="2" borderId="1" xfId="0" applyNumberFormat="1" applyFill="1" applyBorder="1"/>
    <xf numFmtId="164" fontId="0" fillId="0" borderId="1" xfId="0" applyNumberFormat="1" applyFill="1" applyBorder="1"/>
    <xf numFmtId="2" fontId="0" fillId="0" borderId="1" xfId="0" applyNumberFormat="1" applyFill="1" applyBorder="1"/>
    <xf numFmtId="0" fontId="0" fillId="0" borderId="0" xfId="0" applyAlignment="1">
      <alignment horizontal="center"/>
    </xf>
    <xf numFmtId="0" fontId="2" fillId="0" borderId="0" xfId="0" applyFont="1" applyBorder="1" applyAlignment="1">
      <alignment horizontal="center"/>
    </xf>
    <xf numFmtId="0" fontId="5" fillId="3" borderId="1" xfId="0" applyFont="1" applyFill="1" applyBorder="1"/>
    <xf numFmtId="165" fontId="5" fillId="3" borderId="1" xfId="0" applyNumberFormat="1" applyFont="1" applyFill="1" applyBorder="1"/>
    <xf numFmtId="164" fontId="5" fillId="3" borderId="1" xfId="0" applyNumberFormat="1" applyFont="1" applyFill="1" applyBorder="1"/>
    <xf numFmtId="2" fontId="5" fillId="3" borderId="1" xfId="0" applyNumberFormat="1" applyFont="1" applyFill="1" applyBorder="1"/>
    <xf numFmtId="11" fontId="5" fillId="3" borderId="1" xfId="0" applyNumberFormat="1" applyFont="1" applyFill="1" applyBorder="1"/>
    <xf numFmtId="0" fontId="5" fillId="0" borderId="0" xfId="0" applyFont="1" applyBorder="1"/>
    <xf numFmtId="0" fontId="5" fillId="0" borderId="0" xfId="0" applyFont="1"/>
    <xf numFmtId="166" fontId="0" fillId="0" borderId="0" xfId="0" applyNumberFormat="1" applyBorder="1"/>
    <xf numFmtId="165" fontId="0" fillId="0" borderId="0" xfId="0" applyNumberFormat="1" applyBorder="1" applyAlignment="1">
      <alignment horizontal="right"/>
    </xf>
    <xf numFmtId="165" fontId="0" fillId="0" borderId="0" xfId="0" applyNumberFormat="1" applyBorder="1" applyAlignment="1">
      <alignment horizontal="center"/>
    </xf>
    <xf numFmtId="0" fontId="0" fillId="2" borderId="2" xfId="0" applyFill="1" applyBorder="1"/>
    <xf numFmtId="0" fontId="0" fillId="0" borderId="3" xfId="0" applyBorder="1"/>
    <xf numFmtId="164" fontId="2" fillId="0" borderId="0" xfId="0" applyNumberFormat="1" applyFont="1" applyBorder="1" applyAlignment="1">
      <alignment horizontal="center"/>
    </xf>
    <xf numFmtId="0" fontId="5" fillId="3" borderId="3" xfId="0" applyFont="1" applyFill="1" applyBorder="1" applyAlignment="1">
      <alignment horizontal="left" wrapText="1"/>
    </xf>
    <xf numFmtId="0" fontId="5" fillId="3" borderId="0" xfId="0" applyFont="1" applyFill="1" applyBorder="1" applyAlignment="1">
      <alignment horizontal="left"/>
    </xf>
    <xf numFmtId="11" fontId="5" fillId="0" borderId="0" xfId="0" applyNumberFormat="1" applyFont="1" applyBorder="1"/>
    <xf numFmtId="0" fontId="7" fillId="0" borderId="0" xfId="0" applyFont="1"/>
    <xf numFmtId="0" fontId="4" fillId="0" borderId="0" xfId="0" applyFont="1"/>
    <xf numFmtId="11" fontId="0" fillId="0" borderId="2" xfId="0" applyNumberFormat="1" applyBorder="1"/>
    <xf numFmtId="10" fontId="0" fillId="0" borderId="1" xfId="0" applyNumberFormat="1" applyBorder="1"/>
    <xf numFmtId="0" fontId="0" fillId="0" borderId="0" xfId="0" applyFont="1"/>
    <xf numFmtId="11" fontId="1" fillId="0" borderId="1" xfId="0" applyNumberFormat="1" applyFont="1" applyBorder="1"/>
    <xf numFmtId="0" fontId="1" fillId="0" borderId="1" xfId="0" applyFont="1" applyBorder="1"/>
    <xf numFmtId="0" fontId="0" fillId="0" borderId="1" xfId="0" applyFont="1" applyBorder="1"/>
    <xf numFmtId="0" fontId="0" fillId="0" borderId="5" xfId="0" applyBorder="1" applyAlignment="1">
      <alignment wrapText="1"/>
    </xf>
    <xf numFmtId="0" fontId="0" fillId="0" borderId="5" xfId="0" applyFill="1" applyBorder="1"/>
    <xf numFmtId="0" fontId="0" fillId="0" borderId="5" xfId="0" applyBorder="1"/>
    <xf numFmtId="0" fontId="0" fillId="0" borderId="1" xfId="0" applyFill="1" applyBorder="1" applyAlignment="1">
      <alignment wrapText="1"/>
    </xf>
    <xf numFmtId="167" fontId="0" fillId="0" borderId="1" xfId="0" applyNumberFormat="1" applyBorder="1"/>
    <xf numFmtId="2" fontId="1" fillId="0" borderId="1" xfId="0" applyNumberFormat="1" applyFont="1" applyBorder="1"/>
    <xf numFmtId="0" fontId="2" fillId="4" borderId="1" xfId="0" applyFont="1" applyFill="1" applyBorder="1"/>
    <xf numFmtId="0" fontId="0" fillId="4" borderId="1" xfId="0" applyFill="1" applyBorder="1"/>
    <xf numFmtId="0" fontId="13" fillId="0" borderId="0" xfId="0" applyFont="1"/>
    <xf numFmtId="0" fontId="0" fillId="5" borderId="1" xfId="0" applyFill="1" applyBorder="1"/>
    <xf numFmtId="11" fontId="0" fillId="5" borderId="1" xfId="0" applyNumberFormat="1" applyFill="1" applyBorder="1"/>
    <xf numFmtId="2" fontId="0" fillId="5" borderId="1" xfId="0" applyNumberFormat="1" applyFill="1" applyBorder="1"/>
    <xf numFmtId="0" fontId="0" fillId="6" borderId="1" xfId="0" applyFill="1" applyBorder="1"/>
    <xf numFmtId="11" fontId="0" fillId="6" borderId="1" xfId="0" applyNumberFormat="1" applyFill="1" applyBorder="1"/>
    <xf numFmtId="2" fontId="0" fillId="6" borderId="1" xfId="0" applyNumberFormat="1" applyFill="1" applyBorder="1"/>
    <xf numFmtId="165" fontId="0" fillId="0" borderId="0" xfId="0" applyNumberFormat="1"/>
    <xf numFmtId="165" fontId="2" fillId="0" borderId="0" xfId="0" applyNumberFormat="1" applyFont="1"/>
    <xf numFmtId="165" fontId="2" fillId="0" borderId="1" xfId="0" applyNumberFormat="1" applyFont="1" applyBorder="1" applyAlignment="1">
      <alignment wrapText="1"/>
    </xf>
    <xf numFmtId="165" fontId="0" fillId="5" borderId="1" xfId="0" applyNumberFormat="1" applyFill="1" applyBorder="1"/>
    <xf numFmtId="165" fontId="0" fillId="6" borderId="1" xfId="0" applyNumberFormat="1" applyFill="1" applyBorder="1"/>
    <xf numFmtId="11" fontId="2" fillId="0" borderId="0" xfId="0" applyNumberFormat="1" applyFont="1"/>
    <xf numFmtId="11" fontId="2" fillId="0" borderId="1" xfId="0" applyNumberFormat="1" applyFont="1" applyBorder="1" applyAlignment="1">
      <alignment wrapText="1"/>
    </xf>
    <xf numFmtId="11" fontId="2" fillId="0" borderId="3" xfId="0" applyNumberFormat="1" applyFont="1" applyBorder="1" applyAlignment="1">
      <alignment wrapText="1"/>
    </xf>
    <xf numFmtId="11" fontId="2" fillId="0" borderId="5" xfId="0" applyNumberFormat="1" applyFont="1" applyBorder="1" applyAlignment="1">
      <alignment wrapText="1"/>
    </xf>
    <xf numFmtId="166" fontId="0" fillId="0" borderId="0" xfId="0" applyNumberFormat="1"/>
    <xf numFmtId="166" fontId="2" fillId="0" borderId="0" xfId="0" applyNumberFormat="1" applyFont="1"/>
    <xf numFmtId="166" fontId="0" fillId="0" borderId="0" xfId="0" applyNumberFormat="1" applyFont="1"/>
    <xf numFmtId="166" fontId="2" fillId="0" borderId="1" xfId="0" applyNumberFormat="1" applyFont="1" applyBorder="1"/>
    <xf numFmtId="166" fontId="0" fillId="0" borderId="1" xfId="0" applyNumberFormat="1" applyBorder="1"/>
    <xf numFmtId="0" fontId="0" fillId="5" borderId="1" xfId="0" applyFont="1" applyFill="1" applyBorder="1" applyAlignment="1">
      <alignment horizontal="center"/>
    </xf>
    <xf numFmtId="0" fontId="2" fillId="5" borderId="1" xfId="0" applyFont="1" applyFill="1" applyBorder="1"/>
    <xf numFmtId="0" fontId="0" fillId="6" borderId="1" xfId="0" applyFill="1" applyBorder="1" applyAlignment="1">
      <alignment wrapText="1"/>
    </xf>
    <xf numFmtId="0" fontId="0" fillId="5" borderId="1" xfId="0" applyFill="1" applyBorder="1" applyAlignment="1">
      <alignment wrapText="1"/>
    </xf>
    <xf numFmtId="0" fontId="15" fillId="0" borderId="0" xfId="0" applyFont="1"/>
    <xf numFmtId="0" fontId="0" fillId="6" borderId="7" xfId="0" applyFill="1" applyBorder="1"/>
    <xf numFmtId="0" fontId="0" fillId="0" borderId="0" xfId="0" applyFill="1"/>
    <xf numFmtId="11" fontId="0" fillId="0" borderId="0" xfId="0" applyNumberFormat="1" applyFill="1"/>
    <xf numFmtId="165" fontId="0" fillId="0" borderId="0" xfId="0" applyNumberFormat="1" applyFill="1"/>
    <xf numFmtId="2" fontId="0" fillId="0" borderId="0" xfId="0" applyNumberFormat="1" applyFill="1"/>
    <xf numFmtId="0" fontId="0" fillId="0" borderId="2"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xf>
    <xf numFmtId="0" fontId="0" fillId="0" borderId="2" xfId="0" applyBorder="1" applyAlignment="1">
      <alignment horizontal="left" vertical="top"/>
    </xf>
    <xf numFmtId="0" fontId="0" fillId="0" borderId="4" xfId="0" applyBorder="1" applyAlignment="1">
      <alignment horizontal="left" vertical="top"/>
    </xf>
    <xf numFmtId="0" fontId="0" fillId="0" borderId="3" xfId="0" applyBorder="1" applyAlignment="1">
      <alignment horizontal="left" vertical="top"/>
    </xf>
    <xf numFmtId="0" fontId="2" fillId="0" borderId="1" xfId="0" applyFont="1" applyBorder="1" applyAlignment="1">
      <alignment horizontal="center"/>
    </xf>
    <xf numFmtId="2" fontId="2" fillId="0" borderId="1" xfId="0" applyNumberFormat="1" applyFont="1" applyBorder="1" applyAlignment="1">
      <alignment horizontal="center" wrapText="1"/>
    </xf>
    <xf numFmtId="0" fontId="2" fillId="4" borderId="1" xfId="0" applyFont="1" applyFill="1" applyBorder="1" applyAlignment="1">
      <alignment horizontal="center"/>
    </xf>
    <xf numFmtId="0" fontId="0" fillId="0" borderId="5" xfId="0" applyFont="1" applyBorder="1" applyAlignment="1">
      <alignment horizontal="center"/>
    </xf>
    <xf numFmtId="0" fontId="0" fillId="0" borderId="6" xfId="0" applyFont="1" applyBorder="1" applyAlignment="1">
      <alignment horizontal="center"/>
    </xf>
    <xf numFmtId="0" fontId="0" fillId="0" borderId="7" xfId="0" applyFont="1" applyBorder="1" applyAlignment="1">
      <alignment horizontal="center"/>
    </xf>
    <xf numFmtId="0" fontId="2" fillId="5" borderId="5" xfId="0" applyFont="1" applyFill="1" applyBorder="1" applyAlignment="1">
      <alignment horizontal="center"/>
    </xf>
    <xf numFmtId="0" fontId="2" fillId="5" borderId="6" xfId="0" applyFont="1" applyFill="1" applyBorder="1" applyAlignment="1">
      <alignment horizontal="center"/>
    </xf>
    <xf numFmtId="0" fontId="2" fillId="5" borderId="7" xfId="0" applyFont="1" applyFill="1" applyBorder="1" applyAlignment="1">
      <alignment horizontal="center"/>
    </xf>
    <xf numFmtId="0" fontId="0" fillId="4" borderId="5" xfId="0" applyFont="1" applyFill="1" applyBorder="1" applyAlignment="1">
      <alignment horizontal="center"/>
    </xf>
    <xf numFmtId="0" fontId="0" fillId="4" borderId="6" xfId="0" applyFont="1" applyFill="1" applyBorder="1" applyAlignment="1">
      <alignment horizontal="center"/>
    </xf>
    <xf numFmtId="0" fontId="0" fillId="4" borderId="7" xfId="0" applyFont="1" applyFill="1" applyBorder="1" applyAlignment="1">
      <alignment horizontal="center"/>
    </xf>
    <xf numFmtId="0" fontId="0" fillId="0" borderId="1" xfId="0" applyBorder="1" applyAlignment="1">
      <alignment horizontal="center" wrapText="1"/>
    </xf>
    <xf numFmtId="0" fontId="0" fillId="0" borderId="1" xfId="0" applyBorder="1" applyAlignment="1">
      <alignment horizontal="center"/>
    </xf>
    <xf numFmtId="11" fontId="2" fillId="0" borderId="1" xfId="0" applyNumberFormat="1" applyFont="1" applyBorder="1" applyAlignment="1">
      <alignment horizontal="center"/>
    </xf>
    <xf numFmtId="2" fontId="0" fillId="0" borderId="0" xfId="0" applyNumberFormat="1" applyAlignment="1">
      <alignment horizontal="left" vertical="top" wrapText="1"/>
    </xf>
    <xf numFmtId="0" fontId="5" fillId="3" borderId="1" xfId="0" applyFont="1" applyFill="1" applyBorder="1" applyAlignment="1">
      <alignment horizontal="left" wrapText="1"/>
    </xf>
    <xf numFmtId="0" fontId="5" fillId="3" borderId="1" xfId="0" applyFont="1" applyFill="1" applyBorder="1" applyAlignment="1">
      <alignment horizontal="left"/>
    </xf>
    <xf numFmtId="165" fontId="5" fillId="3" borderId="2" xfId="0" applyNumberFormat="1" applyFont="1" applyFill="1" applyBorder="1" applyAlignment="1">
      <alignment horizontal="right"/>
    </xf>
    <xf numFmtId="165" fontId="5" fillId="3" borderId="4" xfId="0" applyNumberFormat="1" applyFont="1" applyFill="1" applyBorder="1" applyAlignment="1">
      <alignment horizontal="right"/>
    </xf>
    <xf numFmtId="165" fontId="5" fillId="3" borderId="3" xfId="0" applyNumberFormat="1" applyFont="1" applyFill="1" applyBorder="1" applyAlignment="1">
      <alignment horizontal="right"/>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Flexure Bending Stress vs C.G. Deflection</a:t>
            </a:r>
          </a:p>
        </c:rich>
      </c:tx>
      <c:overlay val="0"/>
    </c:title>
    <c:autoTitleDeleted val="0"/>
    <c:plotArea>
      <c:layout/>
      <c:scatterChart>
        <c:scatterStyle val="lineMarker"/>
        <c:varyColors val="0"/>
        <c:ser>
          <c:idx val="0"/>
          <c:order val="0"/>
          <c:trendline>
            <c:trendlineType val="linear"/>
            <c:dispRSqr val="0"/>
            <c:dispEq val="1"/>
            <c:trendlineLbl>
              <c:layout>
                <c:manualLayout>
                  <c:x val="-0.13377351239953553"/>
                  <c:y val="-4.4640463783363199E-2"/>
                </c:manualLayout>
              </c:layout>
              <c:numFmt formatCode="0.0000E+00" sourceLinked="0"/>
            </c:trendlineLbl>
          </c:trendline>
          <c:xVal>
            <c:numRef>
              <c:f>'bending stress conc compare'!$B$21:$B$24</c:f>
              <c:numCache>
                <c:formatCode>General</c:formatCode>
                <c:ptCount val="4"/>
                <c:pt idx="0">
                  <c:v>5.5</c:v>
                </c:pt>
                <c:pt idx="1">
                  <c:v>7.4</c:v>
                </c:pt>
                <c:pt idx="2">
                  <c:v>10.4</c:v>
                </c:pt>
                <c:pt idx="3">
                  <c:v>13.3</c:v>
                </c:pt>
              </c:numCache>
            </c:numRef>
          </c:xVal>
          <c:yVal>
            <c:numRef>
              <c:f>'bending stress conc compare'!$D$21:$D$24</c:f>
              <c:numCache>
                <c:formatCode>0.00E+00</c:formatCode>
                <c:ptCount val="4"/>
                <c:pt idx="0">
                  <c:v>103000000</c:v>
                </c:pt>
                <c:pt idx="1">
                  <c:v>140000000</c:v>
                </c:pt>
                <c:pt idx="2">
                  <c:v>195000000</c:v>
                </c:pt>
                <c:pt idx="3">
                  <c:v>251000000</c:v>
                </c:pt>
              </c:numCache>
            </c:numRef>
          </c:yVal>
          <c:smooth val="0"/>
        </c:ser>
        <c:dLbls>
          <c:showLegendKey val="0"/>
          <c:showVal val="0"/>
          <c:showCatName val="0"/>
          <c:showSerName val="0"/>
          <c:showPercent val="0"/>
          <c:showBubbleSize val="0"/>
        </c:dLbls>
        <c:axId val="137548160"/>
        <c:axId val="137550848"/>
      </c:scatterChart>
      <c:valAx>
        <c:axId val="137548160"/>
        <c:scaling>
          <c:orientation val="minMax"/>
          <c:min val="5"/>
        </c:scaling>
        <c:delete val="0"/>
        <c:axPos val="b"/>
        <c:title>
          <c:tx>
            <c:rich>
              <a:bodyPr/>
              <a:lstStyle/>
              <a:p>
                <a:pPr>
                  <a:defRPr/>
                </a:pPr>
                <a:r>
                  <a:rPr lang="en-US"/>
                  <a:t>C.G. Lateral Deflection (mm)</a:t>
                </a:r>
              </a:p>
            </c:rich>
          </c:tx>
          <c:overlay val="0"/>
        </c:title>
        <c:numFmt formatCode="General" sourceLinked="1"/>
        <c:majorTickMark val="out"/>
        <c:minorTickMark val="none"/>
        <c:tickLblPos val="nextTo"/>
        <c:crossAx val="137550848"/>
        <c:crosses val="autoZero"/>
        <c:crossBetween val="midCat"/>
      </c:valAx>
      <c:valAx>
        <c:axId val="137550848"/>
        <c:scaling>
          <c:orientation val="minMax"/>
        </c:scaling>
        <c:delete val="0"/>
        <c:axPos val="l"/>
        <c:majorGridlines/>
        <c:title>
          <c:tx>
            <c:rich>
              <a:bodyPr rot="-5400000" vert="horz"/>
              <a:lstStyle/>
              <a:p>
                <a:pPr>
                  <a:defRPr/>
                </a:pPr>
                <a:r>
                  <a:rPr lang="en-US"/>
                  <a:t>Flexure Bending Stress (Pa)</a:t>
                </a:r>
              </a:p>
            </c:rich>
          </c:tx>
          <c:overlay val="0"/>
        </c:title>
        <c:numFmt formatCode="0.00E+00" sourceLinked="1"/>
        <c:majorTickMark val="out"/>
        <c:minorTickMark val="none"/>
        <c:tickLblPos val="nextTo"/>
        <c:crossAx val="137548160"/>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png"/><Relationship Id="rId1" Type="http://schemas.openxmlformats.org/officeDocument/2006/relationships/chart" Target="../charts/chart1.xml"/><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13</xdr:row>
      <xdr:rowOff>114300</xdr:rowOff>
    </xdr:from>
    <xdr:to>
      <xdr:col>16</xdr:col>
      <xdr:colOff>281940</xdr:colOff>
      <xdr:row>39</xdr:row>
      <xdr:rowOff>167640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1560" y="2887980"/>
          <a:ext cx="9418320" cy="4808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53340</xdr:colOff>
      <xdr:row>1</xdr:row>
      <xdr:rowOff>0</xdr:rowOff>
    </xdr:from>
    <xdr:to>
      <xdr:col>18</xdr:col>
      <xdr:colOff>411934</xdr:colOff>
      <xdr:row>26</xdr:row>
      <xdr:rowOff>168083</xdr:rowOff>
    </xdr:to>
    <xdr:pic>
      <xdr:nvPicPr>
        <xdr:cNvPr id="2" name="Picture 1"/>
        <xdr:cNvPicPr>
          <a:picLocks noChangeAspect="1"/>
        </xdr:cNvPicPr>
      </xdr:nvPicPr>
      <xdr:blipFill>
        <a:blip xmlns:r="http://schemas.openxmlformats.org/officeDocument/2006/relationships" r:embed="rId1"/>
        <a:stretch>
          <a:fillRect/>
        </a:stretch>
      </xdr:blipFill>
      <xdr:spPr>
        <a:xfrm>
          <a:off x="6149340" y="182880"/>
          <a:ext cx="5235394" cy="5105843"/>
        </a:xfrm>
        <a:prstGeom prst="rect">
          <a:avLst/>
        </a:prstGeom>
      </xdr:spPr>
    </xdr:pic>
    <xdr:clientData/>
  </xdr:twoCellAnchor>
  <xdr:twoCellAnchor editAs="oneCell">
    <xdr:from>
      <xdr:col>10</xdr:col>
      <xdr:colOff>91440</xdr:colOff>
      <xdr:row>29</xdr:row>
      <xdr:rowOff>15240</xdr:rowOff>
    </xdr:from>
    <xdr:to>
      <xdr:col>18</xdr:col>
      <xdr:colOff>274759</xdr:colOff>
      <xdr:row>31</xdr:row>
      <xdr:rowOff>38134</xdr:rowOff>
    </xdr:to>
    <xdr:pic>
      <xdr:nvPicPr>
        <xdr:cNvPr id="3" name="Picture 2"/>
        <xdr:cNvPicPr>
          <a:picLocks noChangeAspect="1"/>
        </xdr:cNvPicPr>
      </xdr:nvPicPr>
      <xdr:blipFill>
        <a:blip xmlns:r="http://schemas.openxmlformats.org/officeDocument/2006/relationships" r:embed="rId2"/>
        <a:stretch>
          <a:fillRect/>
        </a:stretch>
      </xdr:blipFill>
      <xdr:spPr>
        <a:xfrm>
          <a:off x="6187440" y="5318760"/>
          <a:ext cx="5060119" cy="388654"/>
        </a:xfrm>
        <a:prstGeom prst="rect">
          <a:avLst/>
        </a:prstGeom>
      </xdr:spPr>
    </xdr:pic>
    <xdr:clientData/>
  </xdr:twoCellAnchor>
  <xdr:twoCellAnchor editAs="oneCell">
    <xdr:from>
      <xdr:col>0</xdr:col>
      <xdr:colOff>60960</xdr:colOff>
      <xdr:row>11</xdr:row>
      <xdr:rowOff>82352</xdr:rowOff>
    </xdr:from>
    <xdr:to>
      <xdr:col>9</xdr:col>
      <xdr:colOff>533399</xdr:colOff>
      <xdr:row>30</xdr:row>
      <xdr:rowOff>139</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 y="2139752"/>
          <a:ext cx="6035039" cy="33925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166687</xdr:colOff>
      <xdr:row>27</xdr:row>
      <xdr:rowOff>76200</xdr:rowOff>
    </xdr:from>
    <xdr:to>
      <xdr:col>21</xdr:col>
      <xdr:colOff>234315</xdr:colOff>
      <xdr:row>51</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144780</xdr:colOff>
      <xdr:row>27</xdr:row>
      <xdr:rowOff>7620</xdr:rowOff>
    </xdr:from>
    <xdr:to>
      <xdr:col>10</xdr:col>
      <xdr:colOff>544273</xdr:colOff>
      <xdr:row>46</xdr:row>
      <xdr:rowOff>165034</xdr:rowOff>
    </xdr:to>
    <xdr:pic>
      <xdr:nvPicPr>
        <xdr:cNvPr id="3" name="Picture 2"/>
        <xdr:cNvPicPr>
          <a:picLocks noChangeAspect="1"/>
        </xdr:cNvPicPr>
      </xdr:nvPicPr>
      <xdr:blipFill>
        <a:blip xmlns:r="http://schemas.openxmlformats.org/officeDocument/2006/relationships" r:embed="rId2"/>
        <a:stretch>
          <a:fillRect/>
        </a:stretch>
      </xdr:blipFill>
      <xdr:spPr>
        <a:xfrm>
          <a:off x="144780" y="5554980"/>
          <a:ext cx="7775653" cy="3632134"/>
        </a:xfrm>
        <a:prstGeom prst="rect">
          <a:avLst/>
        </a:prstGeom>
      </xdr:spPr>
    </xdr:pic>
    <xdr:clientData/>
  </xdr:twoCellAnchor>
  <xdr:twoCellAnchor editAs="oneCell">
    <xdr:from>
      <xdr:col>7</xdr:col>
      <xdr:colOff>579120</xdr:colOff>
      <xdr:row>14</xdr:row>
      <xdr:rowOff>114300</xdr:rowOff>
    </xdr:from>
    <xdr:to>
      <xdr:col>20</xdr:col>
      <xdr:colOff>251460</xdr:colOff>
      <xdr:row>25</xdr:row>
      <xdr:rowOff>58703</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41720" y="2735580"/>
          <a:ext cx="7520940" cy="2504723"/>
        </a:xfrm>
        <a:prstGeom prst="rect">
          <a:avLst/>
        </a:prstGeom>
      </xdr:spPr>
    </xdr:pic>
    <xdr:clientData/>
  </xdr:twoCellAnchor>
  <xdr:twoCellAnchor editAs="oneCell">
    <xdr:from>
      <xdr:col>0</xdr:col>
      <xdr:colOff>0</xdr:colOff>
      <xdr:row>51</xdr:row>
      <xdr:rowOff>114300</xdr:rowOff>
    </xdr:from>
    <xdr:to>
      <xdr:col>11</xdr:col>
      <xdr:colOff>389343</xdr:colOff>
      <xdr:row>88</xdr:row>
      <xdr:rowOff>168231</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0050780"/>
          <a:ext cx="8337003" cy="68204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352425</xdr:colOff>
      <xdr:row>32</xdr:row>
      <xdr:rowOff>152400</xdr:rowOff>
    </xdr:from>
    <xdr:to>
      <xdr:col>5</xdr:col>
      <xdr:colOff>114300</xdr:colOff>
      <xdr:row>71</xdr:row>
      <xdr:rowOff>95250</xdr:rowOff>
    </xdr:to>
    <xdr:pic>
      <xdr:nvPicPr>
        <xdr:cNvPr id="3" name="Picture 2" descr="ACB suspended mass.JPG"/>
        <xdr:cNvPicPr>
          <a:picLocks noChangeAspect="1"/>
        </xdr:cNvPicPr>
      </xdr:nvPicPr>
      <xdr:blipFill>
        <a:blip xmlns:r="http://schemas.openxmlformats.org/officeDocument/2006/relationships" r:embed="rId1" cstate="print"/>
        <a:stretch>
          <a:fillRect/>
        </a:stretch>
      </xdr:blipFill>
      <xdr:spPr>
        <a:xfrm>
          <a:off x="352425" y="4171950"/>
          <a:ext cx="5210175" cy="7372350"/>
        </a:xfrm>
        <a:prstGeom prst="rect">
          <a:avLst/>
        </a:prstGeom>
      </xdr:spPr>
    </xdr:pic>
    <xdr:clientData/>
  </xdr:twoCellAnchor>
  <xdr:twoCellAnchor editAs="oneCell">
    <xdr:from>
      <xdr:col>10</xdr:col>
      <xdr:colOff>523875</xdr:colOff>
      <xdr:row>32</xdr:row>
      <xdr:rowOff>85725</xdr:rowOff>
    </xdr:from>
    <xdr:to>
      <xdr:col>12</xdr:col>
      <xdr:colOff>38100</xdr:colOff>
      <xdr:row>72</xdr:row>
      <xdr:rowOff>68509</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715125" y="4105275"/>
          <a:ext cx="1504950" cy="7602784"/>
        </a:xfrm>
        <a:prstGeom prst="rect">
          <a:avLst/>
        </a:prstGeom>
        <a:noFill/>
        <a:ln w="1">
          <a:noFill/>
          <a:miter lim="800000"/>
          <a:headEnd/>
          <a:tailEnd type="none" w="med" len="med"/>
        </a:ln>
        <a:effectLst/>
      </xdr:spPr>
    </xdr:pic>
    <xdr:clientData/>
  </xdr:twoCellAnchor>
  <xdr:twoCellAnchor editAs="oneCell">
    <xdr:from>
      <xdr:col>14</xdr:col>
      <xdr:colOff>19050</xdr:colOff>
      <xdr:row>31</xdr:row>
      <xdr:rowOff>133350</xdr:rowOff>
    </xdr:from>
    <xdr:to>
      <xdr:col>17</xdr:col>
      <xdr:colOff>1562100</xdr:colOff>
      <xdr:row>61</xdr:row>
      <xdr:rowOff>9525</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562975" y="3962400"/>
          <a:ext cx="5915025" cy="5591175"/>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428625</xdr:colOff>
      <xdr:row>48</xdr:row>
      <xdr:rowOff>171450</xdr:rowOff>
    </xdr:to>
    <xdr:pic>
      <xdr:nvPicPr>
        <xdr:cNvPr id="2" name="Picture 1" descr="ACB flexure - wire - ansys11 0.47 Hz.JPG"/>
        <xdr:cNvPicPr>
          <a:picLocks noChangeAspect="1"/>
        </xdr:cNvPicPr>
      </xdr:nvPicPr>
      <xdr:blipFill>
        <a:blip xmlns:r="http://schemas.openxmlformats.org/officeDocument/2006/relationships" r:embed="rId1" cstate="print"/>
        <a:stretch>
          <a:fillRect/>
        </a:stretch>
      </xdr:blipFill>
      <xdr:spPr>
        <a:xfrm>
          <a:off x="0" y="0"/>
          <a:ext cx="10182225" cy="9315450"/>
        </a:xfrm>
        <a:prstGeom prst="rect">
          <a:avLst/>
        </a:prstGeom>
      </xdr:spPr>
    </xdr:pic>
    <xdr:clientData/>
  </xdr:twoCellAnchor>
  <xdr:twoCellAnchor editAs="oneCell">
    <xdr:from>
      <xdr:col>16</xdr:col>
      <xdr:colOff>581025</xdr:colOff>
      <xdr:row>0</xdr:row>
      <xdr:rowOff>0</xdr:rowOff>
    </xdr:from>
    <xdr:to>
      <xdr:col>23</xdr:col>
      <xdr:colOff>180975</xdr:colOff>
      <xdr:row>49</xdr:row>
      <xdr:rowOff>95250</xdr:rowOff>
    </xdr:to>
    <xdr:pic>
      <xdr:nvPicPr>
        <xdr:cNvPr id="307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0334625" y="0"/>
          <a:ext cx="3867150" cy="9429750"/>
        </a:xfrm>
        <a:prstGeom prst="rect">
          <a:avLst/>
        </a:prstGeom>
        <a:noFill/>
        <a:ln w="1">
          <a:noFill/>
          <a:miter lim="800000"/>
          <a:headEnd/>
          <a:tailEnd type="none" w="med" len="med"/>
        </a:ln>
        <a:effectLst/>
      </xdr:spPr>
    </xdr:pic>
    <xdr:clientData/>
  </xdr:twoCellAnchor>
  <xdr:twoCellAnchor editAs="oneCell">
    <xdr:from>
      <xdr:col>23</xdr:col>
      <xdr:colOff>285750</xdr:colOff>
      <xdr:row>0</xdr:row>
      <xdr:rowOff>104775</xdr:rowOff>
    </xdr:from>
    <xdr:to>
      <xdr:col>31</xdr:col>
      <xdr:colOff>247650</xdr:colOff>
      <xdr:row>33</xdr:row>
      <xdr:rowOff>38100</xdr:rowOff>
    </xdr:to>
    <xdr:pic>
      <xdr:nvPicPr>
        <xdr:cNvPr id="307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14306550" y="104775"/>
          <a:ext cx="4838700" cy="6219825"/>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228600</xdr:colOff>
      <xdr:row>0</xdr:row>
      <xdr:rowOff>85725</xdr:rowOff>
    </xdr:from>
    <xdr:to>
      <xdr:col>17</xdr:col>
      <xdr:colOff>0</xdr:colOff>
      <xdr:row>49</xdr:row>
      <xdr:rowOff>95250</xdr:rowOff>
    </xdr:to>
    <xdr:pic>
      <xdr:nvPicPr>
        <xdr:cNvPr id="3" name="Picture 2" descr="ACB flexure p100 in dia x p547 in p50 Hz.JPG"/>
        <xdr:cNvPicPr>
          <a:picLocks noChangeAspect="1"/>
        </xdr:cNvPicPr>
      </xdr:nvPicPr>
      <xdr:blipFill>
        <a:blip xmlns:r="http://schemas.openxmlformats.org/officeDocument/2006/relationships" r:embed="rId1" cstate="print"/>
        <a:stretch>
          <a:fillRect/>
        </a:stretch>
      </xdr:blipFill>
      <xdr:spPr>
        <a:xfrm>
          <a:off x="228600" y="85725"/>
          <a:ext cx="10134600" cy="9344025"/>
        </a:xfrm>
        <a:prstGeom prst="rect">
          <a:avLst/>
        </a:prstGeom>
      </xdr:spPr>
    </xdr:pic>
    <xdr:clientData/>
  </xdr:twoCellAnchor>
  <xdr:twoCellAnchor editAs="oneCell">
    <xdr:from>
      <xdr:col>17</xdr:col>
      <xdr:colOff>209550</xdr:colOff>
      <xdr:row>0</xdr:row>
      <xdr:rowOff>152400</xdr:rowOff>
    </xdr:from>
    <xdr:to>
      <xdr:col>25</xdr:col>
      <xdr:colOff>114300</xdr:colOff>
      <xdr:row>33</xdr:row>
      <xdr:rowOff>161925</xdr:rowOff>
    </xdr:to>
    <xdr:pic>
      <xdr:nvPicPr>
        <xdr:cNvPr id="4" name="Picture 3" descr="ACB flexure p100 in dia x p547 in stress.JPG"/>
        <xdr:cNvPicPr>
          <a:picLocks noChangeAspect="1"/>
        </xdr:cNvPicPr>
      </xdr:nvPicPr>
      <xdr:blipFill>
        <a:blip xmlns:r="http://schemas.openxmlformats.org/officeDocument/2006/relationships" r:embed="rId2" cstate="print"/>
        <a:stretch>
          <a:fillRect/>
        </a:stretch>
      </xdr:blipFill>
      <xdr:spPr>
        <a:xfrm>
          <a:off x="10572750" y="152400"/>
          <a:ext cx="4781550" cy="6296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247650</xdr:colOff>
      <xdr:row>48</xdr:row>
      <xdr:rowOff>114300</xdr:rowOff>
    </xdr:to>
    <xdr:pic>
      <xdr:nvPicPr>
        <xdr:cNvPr id="2" name="Picture 1" descr="ACB flexure p100 in dia x p547 in 20lb p55 Hz.JPG"/>
        <xdr:cNvPicPr>
          <a:picLocks noChangeAspect="1"/>
        </xdr:cNvPicPr>
      </xdr:nvPicPr>
      <xdr:blipFill>
        <a:blip xmlns:r="http://schemas.openxmlformats.org/officeDocument/2006/relationships" r:embed="rId1" cstate="print"/>
        <a:stretch>
          <a:fillRect/>
        </a:stretch>
      </xdr:blipFill>
      <xdr:spPr>
        <a:xfrm>
          <a:off x="0" y="0"/>
          <a:ext cx="8172450" cy="9258300"/>
        </a:xfrm>
        <a:prstGeom prst="rect">
          <a:avLst/>
        </a:prstGeom>
      </xdr:spPr>
    </xdr:pic>
    <xdr:clientData/>
  </xdr:twoCellAnchor>
  <xdr:twoCellAnchor editAs="oneCell">
    <xdr:from>
      <xdr:col>13</xdr:col>
      <xdr:colOff>400050</xdr:colOff>
      <xdr:row>0</xdr:row>
      <xdr:rowOff>28575</xdr:rowOff>
    </xdr:from>
    <xdr:to>
      <xdr:col>20</xdr:col>
      <xdr:colOff>0</xdr:colOff>
      <xdr:row>50</xdr:row>
      <xdr:rowOff>123825</xdr:rowOff>
    </xdr:to>
    <xdr:pic>
      <xdr:nvPicPr>
        <xdr:cNvPr id="204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8324850" y="28575"/>
          <a:ext cx="3867150" cy="962025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228600</xdr:colOff>
      <xdr:row>0</xdr:row>
      <xdr:rowOff>38100</xdr:rowOff>
    </xdr:from>
    <xdr:to>
      <xdr:col>7</xdr:col>
      <xdr:colOff>361950</xdr:colOff>
      <xdr:row>49</xdr:row>
      <xdr:rowOff>171450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28600" y="38100"/>
          <a:ext cx="4400550" cy="94678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6"/>
  <sheetViews>
    <sheetView tabSelected="1" zoomScale="80" zoomScaleNormal="80" workbookViewId="0">
      <selection activeCell="C13" sqref="C13"/>
    </sheetView>
  </sheetViews>
  <sheetFormatPr defaultRowHeight="14.4" x14ac:dyDescent="0.3"/>
  <cols>
    <col min="1" max="1" width="13.109375" customWidth="1"/>
    <col min="2" max="2" width="38.21875" customWidth="1"/>
    <col min="3" max="4" width="24.88671875" customWidth="1"/>
    <col min="5" max="5" width="9.5546875" style="1" customWidth="1"/>
    <col min="6" max="6" width="9.21875" style="1" customWidth="1"/>
    <col min="7" max="7" width="5.88671875" style="83" customWidth="1"/>
    <col min="8" max="8" width="8.6640625" style="83" customWidth="1"/>
    <col min="9" max="9" width="9.21875" customWidth="1"/>
    <col min="10" max="10" width="5.77734375" customWidth="1"/>
    <col min="11" max="11" width="7.44140625" style="83" customWidth="1"/>
    <col min="12" max="12" width="6.21875" style="83" customWidth="1"/>
    <col min="13" max="13" width="7" customWidth="1"/>
    <col min="14" max="14" width="8.88671875" style="1"/>
    <col min="16" max="16" width="8.88671875" style="1"/>
    <col min="17" max="17" width="9.33203125" style="1" customWidth="1"/>
    <col min="19" max="19" width="9.21875" style="1" customWidth="1"/>
    <col min="20" max="20" width="10.21875" style="1" customWidth="1"/>
    <col min="21" max="21" width="8.88671875" style="2"/>
  </cols>
  <sheetData>
    <row r="1" spans="1:21" ht="25.8" x14ac:dyDescent="0.5">
      <c r="A1" s="76" t="s">
        <v>180</v>
      </c>
    </row>
    <row r="4" spans="1:21" s="3" customFormat="1" x14ac:dyDescent="0.3">
      <c r="A4" s="114" t="s">
        <v>181</v>
      </c>
      <c r="B4" s="114"/>
      <c r="E4" s="88"/>
      <c r="F4" s="88"/>
      <c r="G4" s="114" t="s">
        <v>185</v>
      </c>
      <c r="H4" s="114"/>
      <c r="I4" s="114"/>
      <c r="K4" s="84"/>
      <c r="L4" s="84"/>
      <c r="N4" s="114" t="s">
        <v>188</v>
      </c>
      <c r="O4" s="114"/>
      <c r="P4" s="114"/>
      <c r="Q4" s="114" t="s">
        <v>149</v>
      </c>
      <c r="R4" s="114"/>
      <c r="S4" s="114"/>
      <c r="T4" s="88"/>
      <c r="U4" s="115" t="s">
        <v>198</v>
      </c>
    </row>
    <row r="5" spans="1:21" s="3" customFormat="1" ht="44.4" customHeight="1" x14ac:dyDescent="0.3">
      <c r="A5" s="4" t="s">
        <v>182</v>
      </c>
      <c r="B5" s="4" t="s">
        <v>183</v>
      </c>
      <c r="C5" s="4" t="s">
        <v>184</v>
      </c>
      <c r="D5" s="4" t="s">
        <v>22</v>
      </c>
      <c r="E5" s="89" t="s">
        <v>194</v>
      </c>
      <c r="F5" s="89" t="s">
        <v>190</v>
      </c>
      <c r="G5" s="85" t="s">
        <v>193</v>
      </c>
      <c r="H5" s="85" t="s">
        <v>205</v>
      </c>
      <c r="I5" s="15" t="s">
        <v>196</v>
      </c>
      <c r="J5" s="15" t="s">
        <v>191</v>
      </c>
      <c r="K5" s="85" t="s">
        <v>217</v>
      </c>
      <c r="L5" s="85" t="s">
        <v>195</v>
      </c>
      <c r="M5" s="15" t="s">
        <v>192</v>
      </c>
      <c r="N5" s="90" t="s">
        <v>39</v>
      </c>
      <c r="O5" s="15" t="s">
        <v>187</v>
      </c>
      <c r="P5" s="89" t="s">
        <v>114</v>
      </c>
      <c r="Q5" s="90" t="s">
        <v>39</v>
      </c>
      <c r="R5" s="15" t="s">
        <v>187</v>
      </c>
      <c r="S5" s="89" t="s">
        <v>114</v>
      </c>
      <c r="T5" s="91" t="s">
        <v>218</v>
      </c>
      <c r="U5" s="115"/>
    </row>
    <row r="6" spans="1:21" x14ac:dyDescent="0.3">
      <c r="A6" s="110" t="s">
        <v>200</v>
      </c>
      <c r="B6" s="110" t="s">
        <v>204</v>
      </c>
      <c r="C6" s="80" t="s">
        <v>199</v>
      </c>
      <c r="D6" s="80" t="s">
        <v>197</v>
      </c>
      <c r="E6" s="81">
        <v>193000000000</v>
      </c>
      <c r="F6" s="81">
        <v>240000000</v>
      </c>
      <c r="G6" s="87">
        <v>0.15</v>
      </c>
      <c r="H6" s="87">
        <f>16.646-0.33</f>
        <v>16.316000000000003</v>
      </c>
      <c r="I6" s="81">
        <f t="shared" ref="I6:I12" si="0">ATAN(G6/H6)</f>
        <v>9.1931707683716602E-3</v>
      </c>
      <c r="J6" s="80">
        <v>170</v>
      </c>
      <c r="K6" s="87">
        <v>0.13600000000000001</v>
      </c>
      <c r="L6" s="87">
        <f>(0.509+2*0.12)</f>
        <v>0.749</v>
      </c>
      <c r="M6" s="80">
        <f t="shared" ref="M6:M12" si="1">PI()*K6^2/4</f>
        <v>1.4526724430199206E-2</v>
      </c>
      <c r="N6" s="81">
        <f t="shared" ref="N6:N12" si="2">6894.7572*J6/M6</f>
        <v>80686374.249884963</v>
      </c>
      <c r="O6" s="80">
        <f>O7</f>
        <v>1.1441085760619405</v>
      </c>
      <c r="P6" s="81">
        <f t="shared" ref="P6:P12" si="3">O6*N6</f>
        <v>92313972.750636712</v>
      </c>
      <c r="Q6" s="81">
        <f t="shared" ref="Q6:Q12" si="4">I6*E6*K6/(2*L6)</f>
        <v>161083008.22978595</v>
      </c>
      <c r="R6" s="80">
        <f>R7</f>
        <v>1.146798830264848</v>
      </c>
      <c r="S6" s="81">
        <f t="shared" ref="S6:S12" si="5">R6*Q6</f>
        <v>184729805.41346142</v>
      </c>
      <c r="T6" s="81">
        <f t="shared" ref="T6:T12" si="6">P6+S6</f>
        <v>277043778.16409814</v>
      </c>
      <c r="U6" s="82">
        <f t="shared" ref="U6:U12" si="7">F6/T6</f>
        <v>0.86628908106300651</v>
      </c>
    </row>
    <row r="7" spans="1:21" x14ac:dyDescent="0.3">
      <c r="A7" s="110"/>
      <c r="B7" s="110"/>
      <c r="C7" s="77" t="s">
        <v>186</v>
      </c>
      <c r="D7" s="77" t="s">
        <v>94</v>
      </c>
      <c r="E7" s="78">
        <v>190000000000</v>
      </c>
      <c r="F7" s="78">
        <v>1764000000</v>
      </c>
      <c r="G7" s="86">
        <v>0.15</v>
      </c>
      <c r="H7" s="86">
        <f>16.646-0.33</f>
        <v>16.316000000000003</v>
      </c>
      <c r="I7" s="78">
        <f t="shared" si="0"/>
        <v>9.1931707683716602E-3</v>
      </c>
      <c r="J7" s="77">
        <v>170</v>
      </c>
      <c r="K7" s="86">
        <v>0.13600000000000001</v>
      </c>
      <c r="L7" s="86">
        <f>(0.509+2*0.12)</f>
        <v>0.749</v>
      </c>
      <c r="M7" s="77">
        <f t="shared" si="1"/>
        <v>1.4526724430199206E-2</v>
      </c>
      <c r="N7" s="78">
        <f t="shared" si="2"/>
        <v>80686374.249884963</v>
      </c>
      <c r="O7" s="77">
        <f>'stress conc factors'!O9</f>
        <v>1.1441085760619405</v>
      </c>
      <c r="P7" s="78">
        <f t="shared" si="3"/>
        <v>92313972.750636712</v>
      </c>
      <c r="Q7" s="78">
        <f t="shared" si="4"/>
        <v>158579127.27284625</v>
      </c>
      <c r="R7" s="77">
        <f>'stress conc factors'!T9</f>
        <v>1.146798830264848</v>
      </c>
      <c r="S7" s="78">
        <f t="shared" si="5"/>
        <v>181858357.66092053</v>
      </c>
      <c r="T7" s="78">
        <f t="shared" si="6"/>
        <v>274172330.41155726</v>
      </c>
      <c r="U7" s="79">
        <f t="shared" si="7"/>
        <v>6.433909641254016</v>
      </c>
    </row>
    <row r="8" spans="1:21" x14ac:dyDescent="0.3">
      <c r="A8" s="111" t="s">
        <v>202</v>
      </c>
      <c r="B8" s="111" t="s">
        <v>203</v>
      </c>
      <c r="C8" s="80" t="s">
        <v>201</v>
      </c>
      <c r="D8" s="80" t="s">
        <v>197</v>
      </c>
      <c r="E8" s="81">
        <v>193000000000</v>
      </c>
      <c r="F8" s="81">
        <v>240000000</v>
      </c>
      <c r="G8" s="87">
        <v>0.15</v>
      </c>
      <c r="H8" s="87">
        <f>16.711-0.33</f>
        <v>16.381</v>
      </c>
      <c r="I8" s="80">
        <f t="shared" si="0"/>
        <v>9.1566942020713631E-3</v>
      </c>
      <c r="J8" s="80">
        <v>51</v>
      </c>
      <c r="K8" s="87">
        <v>0.11</v>
      </c>
      <c r="L8" s="87">
        <f>(0.5+2*0.12)</f>
        <v>0.74</v>
      </c>
      <c r="M8" s="80">
        <f t="shared" si="1"/>
        <v>9.5033177771091243E-3</v>
      </c>
      <c r="N8" s="81">
        <f t="shared" si="2"/>
        <v>37001037.474195182</v>
      </c>
      <c r="O8" s="80">
        <f>'stress conc factors'!O10</f>
        <v>1.0746700522603958</v>
      </c>
      <c r="P8" s="81">
        <f t="shared" si="3"/>
        <v>39763906.876082197</v>
      </c>
      <c r="Q8" s="81">
        <f t="shared" si="4"/>
        <v>131349066.15538853</v>
      </c>
      <c r="R8" s="80">
        <f>'stress conc factors'!T10</f>
        <v>1.1089682436075639</v>
      </c>
      <c r="S8" s="81">
        <f t="shared" si="5"/>
        <v>145661943.19383493</v>
      </c>
      <c r="T8" s="81">
        <f t="shared" si="6"/>
        <v>185425850.06991714</v>
      </c>
      <c r="U8" s="82">
        <f t="shared" si="7"/>
        <v>1.2943179168897163</v>
      </c>
    </row>
    <row r="9" spans="1:21" ht="28.8" x14ac:dyDescent="0.3">
      <c r="A9" s="112"/>
      <c r="B9" s="112"/>
      <c r="C9" s="99" t="s">
        <v>206</v>
      </c>
      <c r="D9" s="80" t="s">
        <v>197</v>
      </c>
      <c r="E9" s="81">
        <v>193000000000</v>
      </c>
      <c r="F9" s="81">
        <v>240000000</v>
      </c>
      <c r="G9" s="87">
        <v>0.15</v>
      </c>
      <c r="H9" s="87">
        <f>16.711-0.33</f>
        <v>16.381</v>
      </c>
      <c r="I9" s="80">
        <f t="shared" si="0"/>
        <v>9.1566942020713631E-3</v>
      </c>
      <c r="J9" s="80">
        <v>51</v>
      </c>
      <c r="K9" s="87">
        <v>0.13600000000000001</v>
      </c>
      <c r="L9" s="87">
        <f>(0.5+2*0.12)</f>
        <v>0.74</v>
      </c>
      <c r="M9" s="80">
        <f t="shared" si="1"/>
        <v>1.4526724430199206E-2</v>
      </c>
      <c r="N9" s="81">
        <f t="shared" si="2"/>
        <v>24205912.274965487</v>
      </c>
      <c r="O9" s="80">
        <f>'stress conc factors'!O11</f>
        <v>1.1441085760619405</v>
      </c>
      <c r="P9" s="81">
        <f t="shared" si="3"/>
        <v>27694191.82519101</v>
      </c>
      <c r="Q9" s="81">
        <f t="shared" si="4"/>
        <v>162395209.06484404</v>
      </c>
      <c r="R9" s="80">
        <f>'stress conc factors'!T11</f>
        <v>1.146798830264848</v>
      </c>
      <c r="S9" s="81">
        <f t="shared" si="5"/>
        <v>186234635.79617858</v>
      </c>
      <c r="T9" s="81">
        <f t="shared" si="6"/>
        <v>213928827.6213696</v>
      </c>
      <c r="U9" s="82">
        <f t="shared" si="7"/>
        <v>1.1218684394642384</v>
      </c>
    </row>
    <row r="10" spans="1:21" ht="28.8" x14ac:dyDescent="0.3">
      <c r="A10" s="112"/>
      <c r="B10" s="112"/>
      <c r="C10" s="100" t="s">
        <v>225</v>
      </c>
      <c r="D10" s="77" t="s">
        <v>94</v>
      </c>
      <c r="E10" s="78">
        <v>190000000000</v>
      </c>
      <c r="F10" s="78">
        <v>1764000000</v>
      </c>
      <c r="G10" s="86">
        <v>0.15</v>
      </c>
      <c r="H10" s="86">
        <f>16.711-0.33</f>
        <v>16.381</v>
      </c>
      <c r="I10" s="77">
        <f t="shared" si="0"/>
        <v>9.1566942020713631E-3</v>
      </c>
      <c r="J10" s="77">
        <v>51</v>
      </c>
      <c r="K10" s="86">
        <v>0.11</v>
      </c>
      <c r="L10" s="86">
        <f>(0.5+2*0.12)</f>
        <v>0.74</v>
      </c>
      <c r="M10" s="77">
        <f t="shared" si="1"/>
        <v>9.5033177771091243E-3</v>
      </c>
      <c r="N10" s="78">
        <f t="shared" si="2"/>
        <v>37001037.474195182</v>
      </c>
      <c r="O10" s="77">
        <f>'stress conc factors'!O10</f>
        <v>1.0746700522603958</v>
      </c>
      <c r="P10" s="78">
        <f t="shared" si="3"/>
        <v>39763906.876082197</v>
      </c>
      <c r="Q10" s="78">
        <f t="shared" si="4"/>
        <v>129307370.82654829</v>
      </c>
      <c r="R10" s="77">
        <f>'stress conc factors'!T10</f>
        <v>1.1089682436075639</v>
      </c>
      <c r="S10" s="78">
        <f t="shared" si="5"/>
        <v>143397767.91102919</v>
      </c>
      <c r="T10" s="78">
        <f t="shared" si="6"/>
        <v>183161674.7871114</v>
      </c>
      <c r="U10" s="79">
        <f t="shared" si="7"/>
        <v>9.6308357195919676</v>
      </c>
    </row>
    <row r="11" spans="1:21" ht="28.8" x14ac:dyDescent="0.3">
      <c r="A11" s="112"/>
      <c r="B11" s="112"/>
      <c r="C11" s="100" t="s">
        <v>225</v>
      </c>
      <c r="D11" s="77" t="s">
        <v>221</v>
      </c>
      <c r="E11" s="78">
        <v>200000000000</v>
      </c>
      <c r="F11" s="78">
        <v>920000000</v>
      </c>
      <c r="G11" s="86">
        <v>0.15</v>
      </c>
      <c r="H11" s="86">
        <f>16.711-0.33</f>
        <v>16.381</v>
      </c>
      <c r="I11" s="77">
        <f t="shared" si="0"/>
        <v>9.1566942020713631E-3</v>
      </c>
      <c r="J11" s="77">
        <v>51</v>
      </c>
      <c r="K11" s="86">
        <v>0.11</v>
      </c>
      <c r="L11" s="86">
        <f>(0.5+2*0.12)</f>
        <v>0.74</v>
      </c>
      <c r="M11" s="77">
        <f t="shared" si="1"/>
        <v>9.5033177771091243E-3</v>
      </c>
      <c r="N11" s="78">
        <f t="shared" si="2"/>
        <v>37001037.474195182</v>
      </c>
      <c r="O11" s="77">
        <f>O10</f>
        <v>1.0746700522603958</v>
      </c>
      <c r="P11" s="78">
        <f t="shared" si="3"/>
        <v>39763906.876082197</v>
      </c>
      <c r="Q11" s="78">
        <f t="shared" si="4"/>
        <v>136113021.92268243</v>
      </c>
      <c r="R11" s="77">
        <f>R10</f>
        <v>1.1089682436075639</v>
      </c>
      <c r="S11" s="78">
        <f t="shared" si="5"/>
        <v>150945018.85371497</v>
      </c>
      <c r="T11" s="78">
        <f t="shared" si="6"/>
        <v>190708925.72979718</v>
      </c>
      <c r="U11" s="79">
        <f t="shared" si="7"/>
        <v>4.8241056179168398</v>
      </c>
    </row>
    <row r="12" spans="1:21" x14ac:dyDescent="0.3">
      <c r="A12" s="113"/>
      <c r="B12" s="113"/>
      <c r="C12" s="100" t="s">
        <v>186</v>
      </c>
      <c r="D12" s="77" t="s">
        <v>94</v>
      </c>
      <c r="E12" s="78">
        <v>190000000000</v>
      </c>
      <c r="F12" s="78">
        <v>1764000000</v>
      </c>
      <c r="G12" s="86">
        <v>0.15</v>
      </c>
      <c r="H12" s="86">
        <f>16.711-0.33</f>
        <v>16.381</v>
      </c>
      <c r="I12" s="77">
        <f t="shared" si="0"/>
        <v>9.1566942020713631E-3</v>
      </c>
      <c r="J12" s="77">
        <v>51</v>
      </c>
      <c r="K12" s="86">
        <v>0.13400000000000001</v>
      </c>
      <c r="L12" s="86">
        <f>(0.509+2*0.12)</f>
        <v>0.749</v>
      </c>
      <c r="M12" s="77">
        <f t="shared" si="1"/>
        <v>1.4102609421964583E-2</v>
      </c>
      <c r="N12" s="78">
        <f t="shared" si="2"/>
        <v>24933869.093214616</v>
      </c>
      <c r="O12" s="77">
        <f>O9</f>
        <v>1.1441085760619405</v>
      </c>
      <c r="P12" s="78">
        <f t="shared" si="3"/>
        <v>28527053.463952601</v>
      </c>
      <c r="Q12" s="78">
        <f t="shared" si="4"/>
        <v>155627125.75750127</v>
      </c>
      <c r="R12" s="77">
        <f>R9</f>
        <v>1.146798830264848</v>
      </c>
      <c r="S12" s="78">
        <f t="shared" si="5"/>
        <v>178473005.77618286</v>
      </c>
      <c r="T12" s="78">
        <f t="shared" si="6"/>
        <v>207000059.24013546</v>
      </c>
      <c r="U12" s="79">
        <f t="shared" si="7"/>
        <v>8.521736691648135</v>
      </c>
    </row>
    <row r="13" spans="1:21" ht="16.8" customHeight="1" x14ac:dyDescent="0.3">
      <c r="A13" s="107" t="s">
        <v>215</v>
      </c>
      <c r="B13" s="107" t="s">
        <v>216</v>
      </c>
      <c r="C13" s="102" t="s">
        <v>212</v>
      </c>
      <c r="D13" s="80" t="s">
        <v>213</v>
      </c>
      <c r="E13" s="81">
        <v>193000000000</v>
      </c>
      <c r="F13" s="81">
        <v>240000000</v>
      </c>
      <c r="G13" s="87">
        <v>0.25</v>
      </c>
      <c r="H13" s="87">
        <v>60.7</v>
      </c>
      <c r="I13" s="80">
        <f t="shared" ref="I13:I14" si="8">ATAN(G13/H13)</f>
        <v>4.1185928571851925E-3</v>
      </c>
      <c r="J13" s="80">
        <v>314</v>
      </c>
      <c r="K13" s="87">
        <v>0.157</v>
      </c>
      <c r="L13" s="87">
        <v>0.7</v>
      </c>
      <c r="M13" s="80">
        <f t="shared" ref="M13:M14" si="9">PI()*K13^2/4</f>
        <v>1.9359279329583704E-2</v>
      </c>
      <c r="N13" s="81">
        <f t="shared" ref="N13:N14" si="10">6894.7572*J13/M13</f>
        <v>111830286.85843928</v>
      </c>
      <c r="O13" s="80">
        <f>'stress conc factors'!O12</f>
        <v>1.2385264026568441</v>
      </c>
      <c r="P13" s="81">
        <f t="shared" ref="P13:P14" si="11">O13*N13</f>
        <v>138504762.89086574</v>
      </c>
      <c r="Q13" s="81">
        <f t="shared" ref="Q13:Q14" si="12">I13*E13*K13/(2*L13)</f>
        <v>89141058.689691812</v>
      </c>
      <c r="R13" s="80">
        <f>'stress conc factors'!T12</f>
        <v>1.1982483053045769</v>
      </c>
      <c r="S13" s="81">
        <f t="shared" ref="S13:S14" si="13">R13*Q13</f>
        <v>106813122.50797905</v>
      </c>
      <c r="T13" s="81">
        <f t="shared" ref="T13:T14" si="14">P13+S13</f>
        <v>245317885.39884478</v>
      </c>
      <c r="U13" s="82">
        <f t="shared" ref="U13:U14" si="15">F13/T13</f>
        <v>0.97832247171787412</v>
      </c>
    </row>
    <row r="14" spans="1:21" x14ac:dyDescent="0.3">
      <c r="A14" s="108"/>
      <c r="B14" s="108"/>
      <c r="C14" s="102" t="s">
        <v>212</v>
      </c>
      <c r="D14" s="80" t="s">
        <v>214</v>
      </c>
      <c r="E14" s="81">
        <v>200000000000</v>
      </c>
      <c r="F14" s="81">
        <v>205000000</v>
      </c>
      <c r="G14" s="87">
        <v>0.25</v>
      </c>
      <c r="H14" s="87">
        <v>60.7</v>
      </c>
      <c r="I14" s="80">
        <f t="shared" si="8"/>
        <v>4.1185928571851925E-3</v>
      </c>
      <c r="J14" s="80">
        <v>314</v>
      </c>
      <c r="K14" s="87">
        <v>0.157</v>
      </c>
      <c r="L14" s="87">
        <v>0.7</v>
      </c>
      <c r="M14" s="80">
        <f t="shared" si="9"/>
        <v>1.9359279329583704E-2</v>
      </c>
      <c r="N14" s="81">
        <f t="shared" si="10"/>
        <v>111830286.85843928</v>
      </c>
      <c r="O14" s="80">
        <f>'stress conc factors'!O12</f>
        <v>1.2385264026568441</v>
      </c>
      <c r="P14" s="81">
        <f t="shared" si="11"/>
        <v>138504762.89086574</v>
      </c>
      <c r="Q14" s="81">
        <f t="shared" si="12"/>
        <v>92374154.082582191</v>
      </c>
      <c r="R14" s="80">
        <f>'stress conc factors'!T12</f>
        <v>1.1982483053045769</v>
      </c>
      <c r="S14" s="81">
        <f t="shared" si="13"/>
        <v>110687173.58339797</v>
      </c>
      <c r="T14" s="81">
        <f t="shared" si="14"/>
        <v>249191936.47426373</v>
      </c>
      <c r="U14" s="82">
        <f t="shared" si="15"/>
        <v>0.82265904306727911</v>
      </c>
    </row>
    <row r="15" spans="1:21" x14ac:dyDescent="0.3">
      <c r="A15" s="108"/>
      <c r="B15" s="108"/>
      <c r="C15" s="102" t="s">
        <v>212</v>
      </c>
      <c r="D15" s="80" t="s">
        <v>197</v>
      </c>
      <c r="E15" s="81">
        <v>193000000000</v>
      </c>
      <c r="F15" s="81">
        <v>240000000</v>
      </c>
      <c r="G15" s="87">
        <v>0.25</v>
      </c>
      <c r="H15" s="87">
        <v>60.7</v>
      </c>
      <c r="I15" s="80">
        <f>ATAN(G15/H15)</f>
        <v>4.1185928571851925E-3</v>
      </c>
      <c r="J15" s="80">
        <v>314</v>
      </c>
      <c r="K15" s="87">
        <v>0.157</v>
      </c>
      <c r="L15" s="87">
        <v>0.7</v>
      </c>
      <c r="M15" s="80">
        <f>PI()*K15^2/4</f>
        <v>1.9359279329583704E-2</v>
      </c>
      <c r="N15" s="81">
        <f>6894.7572*J15/M15</f>
        <v>111830286.85843928</v>
      </c>
      <c r="O15" s="80">
        <f>'stress conc factors'!O12</f>
        <v>1.2385264026568441</v>
      </c>
      <c r="P15" s="81">
        <f>O15*N15</f>
        <v>138504762.89086574</v>
      </c>
      <c r="Q15" s="81">
        <f>I15*E15*K15/(2*L15)</f>
        <v>89141058.689691812</v>
      </c>
      <c r="R15" s="80">
        <f>'stress conc factors'!T12</f>
        <v>1.1982483053045769</v>
      </c>
      <c r="S15" s="81">
        <f>R15*Q15</f>
        <v>106813122.50797905</v>
      </c>
      <c r="T15" s="81">
        <f>P15+S15</f>
        <v>245317885.39884478</v>
      </c>
      <c r="U15" s="82">
        <f>F15/T15</f>
        <v>0.97832247171787412</v>
      </c>
    </row>
    <row r="16" spans="1:21" ht="28.8" x14ac:dyDescent="0.3">
      <c r="A16" s="108"/>
      <c r="B16" s="108"/>
      <c r="C16" s="100" t="s">
        <v>222</v>
      </c>
      <c r="D16" s="77" t="s">
        <v>94</v>
      </c>
      <c r="E16" s="78">
        <v>190000000000</v>
      </c>
      <c r="F16" s="78">
        <v>1764000000</v>
      </c>
      <c r="G16" s="86">
        <v>0.25</v>
      </c>
      <c r="H16" s="86">
        <v>60.7</v>
      </c>
      <c r="I16" s="77">
        <f>ATAN(G16/H16)</f>
        <v>4.1185928571851925E-3</v>
      </c>
      <c r="J16" s="77">
        <v>314</v>
      </c>
      <c r="K16" s="86">
        <v>0.157</v>
      </c>
      <c r="L16" s="86">
        <v>0.7</v>
      </c>
      <c r="M16" s="77">
        <f>PI()*K16^2/4</f>
        <v>1.9359279329583704E-2</v>
      </c>
      <c r="N16" s="78">
        <f>6894.7572*J16/M16</f>
        <v>111830286.85843928</v>
      </c>
      <c r="O16" s="77">
        <f>'stress conc factors'!O12</f>
        <v>1.2385264026568441</v>
      </c>
      <c r="P16" s="78">
        <f>O16*N16</f>
        <v>138504762.89086574</v>
      </c>
      <c r="Q16" s="78">
        <f>I16*E16*K16/(2*L16)</f>
        <v>87755446.378453076</v>
      </c>
      <c r="R16" s="77">
        <f>'stress conc factors'!T12</f>
        <v>1.1982483053045769</v>
      </c>
      <c r="S16" s="78">
        <f>R16*Q16</f>
        <v>105152814.90422808</v>
      </c>
      <c r="T16" s="78">
        <f>P16+S16</f>
        <v>243657577.79509383</v>
      </c>
      <c r="U16" s="79">
        <f>F16/T16</f>
        <v>7.2396681275533838</v>
      </c>
    </row>
    <row r="17" spans="1:21" s="103" customFormat="1" ht="28.8" x14ac:dyDescent="0.3">
      <c r="A17" s="108"/>
      <c r="B17" s="108"/>
      <c r="C17" s="99" t="s">
        <v>222</v>
      </c>
      <c r="D17" s="80" t="s">
        <v>220</v>
      </c>
      <c r="E17" s="81">
        <v>200000000000</v>
      </c>
      <c r="F17" s="81">
        <v>313000000</v>
      </c>
      <c r="G17" s="87">
        <v>0.25</v>
      </c>
      <c r="H17" s="87">
        <v>60.7</v>
      </c>
      <c r="I17" s="80">
        <f>ATAN(G17/H17)</f>
        <v>4.1185928571851925E-3</v>
      </c>
      <c r="J17" s="80">
        <v>314</v>
      </c>
      <c r="K17" s="87">
        <v>0.157</v>
      </c>
      <c r="L17" s="87">
        <v>0.7</v>
      </c>
      <c r="M17" s="80">
        <f>PI()*K17^2/4</f>
        <v>1.9359279329583704E-2</v>
      </c>
      <c r="N17" s="81">
        <f>6894.7572*J17/M17</f>
        <v>111830286.85843928</v>
      </c>
      <c r="O17" s="80">
        <f>O16</f>
        <v>1.2385264026568441</v>
      </c>
      <c r="P17" s="81">
        <f>O17*N17</f>
        <v>138504762.89086574</v>
      </c>
      <c r="Q17" s="81">
        <f>I17*E17*K17/(2*L17)</f>
        <v>92374154.082582191</v>
      </c>
      <c r="R17" s="80">
        <f>R16</f>
        <v>1.1982483053045769</v>
      </c>
      <c r="S17" s="81">
        <f>R17*Q17</f>
        <v>110687173.58339797</v>
      </c>
      <c r="T17" s="81">
        <f>P17+S17</f>
        <v>249191936.47426373</v>
      </c>
      <c r="U17" s="82">
        <f>F17/T17</f>
        <v>1.2560599047807726</v>
      </c>
    </row>
    <row r="18" spans="1:21" s="103" customFormat="1" ht="28.8" x14ac:dyDescent="0.3">
      <c r="A18" s="108"/>
      <c r="B18" s="108"/>
      <c r="C18" s="100" t="s">
        <v>222</v>
      </c>
      <c r="D18" s="77" t="s">
        <v>221</v>
      </c>
      <c r="E18" s="78">
        <v>200000000000</v>
      </c>
      <c r="F18" s="78">
        <v>920000000</v>
      </c>
      <c r="G18" s="86">
        <v>0.25</v>
      </c>
      <c r="H18" s="86">
        <v>60.7</v>
      </c>
      <c r="I18" s="77">
        <f>ATAN(G18/H18)</f>
        <v>4.1185928571851925E-3</v>
      </c>
      <c r="J18" s="77">
        <v>314</v>
      </c>
      <c r="K18" s="86">
        <v>0.157</v>
      </c>
      <c r="L18" s="86">
        <v>0.7</v>
      </c>
      <c r="M18" s="77">
        <f>PI()*K18^2/4</f>
        <v>1.9359279329583704E-2</v>
      </c>
      <c r="N18" s="78">
        <f>6894.7572*J18/M18</f>
        <v>111830286.85843928</v>
      </c>
      <c r="O18" s="77">
        <f>O17</f>
        <v>1.2385264026568441</v>
      </c>
      <c r="P18" s="78">
        <f>O18*N18</f>
        <v>138504762.89086574</v>
      </c>
      <c r="Q18" s="78">
        <f>I18*E18*K18/(2*L18)</f>
        <v>92374154.082582191</v>
      </c>
      <c r="R18" s="77">
        <f>R17</f>
        <v>1.1982483053045769</v>
      </c>
      <c r="S18" s="78">
        <f>R18*Q18</f>
        <v>110687173.58339797</v>
      </c>
      <c r="T18" s="78">
        <f>P18+S18</f>
        <v>249191936.47426373</v>
      </c>
      <c r="U18" s="79">
        <f>F18/T18</f>
        <v>3.6919332664482769</v>
      </c>
    </row>
    <row r="19" spans="1:21" s="103" customFormat="1" ht="28.8" x14ac:dyDescent="0.3">
      <c r="A19" s="109"/>
      <c r="B19" s="109"/>
      <c r="C19" s="100" t="s">
        <v>222</v>
      </c>
      <c r="D19" s="77" t="s">
        <v>223</v>
      </c>
      <c r="E19" s="78">
        <v>200000000000</v>
      </c>
      <c r="F19" s="78">
        <v>985000000</v>
      </c>
      <c r="G19" s="86">
        <v>0.25</v>
      </c>
      <c r="H19" s="86">
        <v>60.7</v>
      </c>
      <c r="I19" s="77">
        <f>ATAN(G19/H19)</f>
        <v>4.1185928571851925E-3</v>
      </c>
      <c r="J19" s="77">
        <v>314</v>
      </c>
      <c r="K19" s="86">
        <v>0.157</v>
      </c>
      <c r="L19" s="86">
        <v>0.7</v>
      </c>
      <c r="M19" s="77">
        <f>PI()*K19^2/4</f>
        <v>1.9359279329583704E-2</v>
      </c>
      <c r="N19" s="78">
        <f>6894.7572*J19/M19</f>
        <v>111830286.85843928</v>
      </c>
      <c r="O19" s="77">
        <f>O18</f>
        <v>1.2385264026568441</v>
      </c>
      <c r="P19" s="78">
        <f>O19*N19</f>
        <v>138504762.89086574</v>
      </c>
      <c r="Q19" s="78">
        <f>I19*E19*K19/(2*L19)</f>
        <v>92374154.082582191</v>
      </c>
      <c r="R19" s="77">
        <f>R18</f>
        <v>1.1982483053045769</v>
      </c>
      <c r="S19" s="78">
        <f>R19*Q19</f>
        <v>110687173.58339797</v>
      </c>
      <c r="T19" s="78">
        <f>P19+S19</f>
        <v>249191936.47426373</v>
      </c>
      <c r="U19" s="79">
        <f>F19/T19</f>
        <v>3.9527763776647311</v>
      </c>
    </row>
    <row r="20" spans="1:21" s="103" customFormat="1" x14ac:dyDescent="0.3">
      <c r="E20" s="104"/>
      <c r="F20" s="104"/>
      <c r="G20" s="105"/>
      <c r="H20" s="105"/>
      <c r="K20" s="105"/>
      <c r="L20" s="105"/>
      <c r="N20" s="104"/>
      <c r="P20" s="104"/>
      <c r="Q20" s="104"/>
      <c r="S20" s="104"/>
      <c r="T20" s="104"/>
      <c r="U20" s="106"/>
    </row>
    <row r="21" spans="1:21" x14ac:dyDescent="0.3">
      <c r="A21" t="s">
        <v>207</v>
      </c>
    </row>
    <row r="22" spans="1:21" x14ac:dyDescent="0.3">
      <c r="A22" t="s">
        <v>208</v>
      </c>
    </row>
    <row r="23" spans="1:21" x14ac:dyDescent="0.3">
      <c r="A23" t="s">
        <v>210</v>
      </c>
    </row>
    <row r="24" spans="1:21" x14ac:dyDescent="0.3">
      <c r="A24" s="101" t="s">
        <v>211</v>
      </c>
    </row>
    <row r="25" spans="1:21" x14ac:dyDescent="0.3">
      <c r="A25" t="s">
        <v>219</v>
      </c>
    </row>
    <row r="26" spans="1:21" x14ac:dyDescent="0.3">
      <c r="A26" t="s">
        <v>224</v>
      </c>
    </row>
  </sheetData>
  <mergeCells count="11">
    <mergeCell ref="A4:B4"/>
    <mergeCell ref="G4:I4"/>
    <mergeCell ref="N4:P4"/>
    <mergeCell ref="Q4:S4"/>
    <mergeCell ref="U4:U5"/>
    <mergeCell ref="B13:B19"/>
    <mergeCell ref="A13:A19"/>
    <mergeCell ref="A6:A7"/>
    <mergeCell ref="B6:B7"/>
    <mergeCell ref="A8:A12"/>
    <mergeCell ref="B8:B12"/>
  </mergeCells>
  <pageMargins left="0.7" right="0.7" top="0.75" bottom="0.75" header="0.3" footer="0.3"/>
  <pageSetup paperSize="17" scale="8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3" sqref="J43"/>
    </sheetView>
  </sheetViews>
  <sheetFormatPr defaultRowHeight="14.4" x14ac:dyDescent="0.3"/>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workbookViewId="0">
      <selection activeCell="T18" sqref="T18"/>
    </sheetView>
  </sheetViews>
  <sheetFormatPr defaultRowHeight="14.4" x14ac:dyDescent="0.3"/>
  <cols>
    <col min="1" max="1" width="15.21875" customWidth="1"/>
    <col min="9" max="9" width="8.88671875" style="92"/>
    <col min="21" max="21" width="37" customWidth="1"/>
  </cols>
  <sheetData>
    <row r="1" spans="1:21" ht="25.8" x14ac:dyDescent="0.5">
      <c r="A1" s="76" t="s">
        <v>179</v>
      </c>
    </row>
    <row r="2" spans="1:21" x14ac:dyDescent="0.3">
      <c r="A2" t="s">
        <v>172</v>
      </c>
      <c r="B2" t="s">
        <v>171</v>
      </c>
    </row>
    <row r="3" spans="1:21" x14ac:dyDescent="0.3">
      <c r="A3" t="s">
        <v>173</v>
      </c>
      <c r="B3" t="s">
        <v>176</v>
      </c>
    </row>
    <row r="4" spans="1:21" ht="18" x14ac:dyDescent="0.35">
      <c r="A4" t="s">
        <v>175</v>
      </c>
      <c r="B4" t="s">
        <v>174</v>
      </c>
      <c r="O4" t="s">
        <v>178</v>
      </c>
    </row>
    <row r="5" spans="1:21" s="3" customFormat="1" x14ac:dyDescent="0.3">
      <c r="I5" s="93"/>
      <c r="J5" s="120" t="s">
        <v>164</v>
      </c>
      <c r="K5" s="121"/>
      <c r="L5" s="121"/>
      <c r="M5" s="121"/>
      <c r="N5" s="121"/>
      <c r="O5" s="122"/>
      <c r="P5" s="116" t="s">
        <v>165</v>
      </c>
      <c r="Q5" s="116"/>
      <c r="R5" s="116"/>
      <c r="S5" s="116"/>
      <c r="T5" s="116"/>
    </row>
    <row r="6" spans="1:21" s="64" customFormat="1" ht="15.6" x14ac:dyDescent="0.3">
      <c r="I6" s="94"/>
      <c r="J6" s="117" t="s">
        <v>172</v>
      </c>
      <c r="K6" s="118"/>
      <c r="L6" s="118"/>
      <c r="M6" s="118"/>
      <c r="N6" s="119"/>
      <c r="O6" s="97" t="s">
        <v>177</v>
      </c>
      <c r="P6" s="123" t="s">
        <v>173</v>
      </c>
      <c r="Q6" s="124"/>
      <c r="R6" s="124"/>
      <c r="S6" s="124"/>
      <c r="T6" s="125"/>
    </row>
    <row r="7" spans="1:21" s="3" customFormat="1" x14ac:dyDescent="0.3">
      <c r="A7" s="4" t="s">
        <v>153</v>
      </c>
      <c r="B7" s="4" t="s">
        <v>154</v>
      </c>
      <c r="C7" s="4" t="s">
        <v>155</v>
      </c>
      <c r="D7" s="4" t="s">
        <v>45</v>
      </c>
      <c r="E7" s="4" t="s">
        <v>156</v>
      </c>
      <c r="F7" s="4" t="s">
        <v>105</v>
      </c>
      <c r="G7" s="4" t="s">
        <v>106</v>
      </c>
      <c r="H7" s="4" t="s">
        <v>158</v>
      </c>
      <c r="I7" s="95" t="s">
        <v>157</v>
      </c>
      <c r="J7" s="4" t="s">
        <v>159</v>
      </c>
      <c r="K7" s="4" t="s">
        <v>160</v>
      </c>
      <c r="L7" s="4" t="s">
        <v>161</v>
      </c>
      <c r="M7" s="4" t="s">
        <v>162</v>
      </c>
      <c r="N7" s="4" t="s">
        <v>163</v>
      </c>
      <c r="O7" s="98" t="s">
        <v>163</v>
      </c>
      <c r="P7" s="4" t="s">
        <v>159</v>
      </c>
      <c r="Q7" s="4" t="s">
        <v>160</v>
      </c>
      <c r="R7" s="4" t="s">
        <v>161</v>
      </c>
      <c r="S7" s="4" t="s">
        <v>162</v>
      </c>
      <c r="T7" s="74" t="s">
        <v>163</v>
      </c>
      <c r="U7" s="4" t="s">
        <v>168</v>
      </c>
    </row>
    <row r="8" spans="1:21" x14ac:dyDescent="0.3">
      <c r="A8" s="6" t="s">
        <v>166</v>
      </c>
      <c r="B8" s="6">
        <f>0.31*0.0254</f>
        <v>7.8739999999999991E-3</v>
      </c>
      <c r="C8" s="6">
        <f>0.135*0.0254</f>
        <v>3.4290000000000002E-3</v>
      </c>
      <c r="D8" s="6">
        <f>0.12*0.0254</f>
        <v>3.0479999999999999E-3</v>
      </c>
      <c r="E8" s="6">
        <f>(B8-C8)/2</f>
        <v>2.2224999999999996E-3</v>
      </c>
      <c r="F8" s="6">
        <f>B8/C8</f>
        <v>2.2962962962962958</v>
      </c>
      <c r="G8" s="6">
        <f t="shared" ref="G8:H12" si="0">D8/C8</f>
        <v>0.88888888888888884</v>
      </c>
      <c r="H8" s="6">
        <f t="shared" si="0"/>
        <v>0.72916666666666652</v>
      </c>
      <c r="I8" s="96">
        <f>2*E8/B8</f>
        <v>0.56451612903225801</v>
      </c>
      <c r="J8" s="6">
        <f>0.927+1.149*SQRT(H8)-0.086*H8</f>
        <v>1.8454372025072983</v>
      </c>
      <c r="K8" s="6">
        <f>0.011-3.029*SQRT(H8)+0.948*H8</f>
        <v>-1.8842511558409685</v>
      </c>
      <c r="L8" s="6">
        <f>-0.304+3.979*SQRT(H8)-1.737*H8</f>
        <v>1.8271555914794371</v>
      </c>
      <c r="M8" s="6">
        <f>0.366-2.098*SQRT(H8)+0.875*H8</f>
        <v>-0.78748772558193614</v>
      </c>
      <c r="N8" s="6">
        <f>J8+K8*I8+L8*I8^2+M8*I8^3</f>
        <v>1.2223538066482043</v>
      </c>
      <c r="O8" s="9">
        <f>0.493+0.48*F8^-2.43+(G8^-0.48)*SQRT((3.43-3.41*F8^2+0.0232*F8^4)/(1-8.85*F8^2-0.078*F8^4))</f>
        <v>1.1272033570308175</v>
      </c>
      <c r="P8" s="6">
        <f>0.927+1.149*SQRT(H8)-0.086*H8</f>
        <v>1.8454372025072983</v>
      </c>
      <c r="Q8" s="6">
        <f>0.015-3.281*SQRT(H8)+0.837*H8</f>
        <v>-2.1763746219261204</v>
      </c>
      <c r="R8" s="6">
        <f>0.847+1.716*SQRT(H8)-0.506*H8</f>
        <v>1.9433556261988889</v>
      </c>
      <c r="S8" s="6">
        <f>-0.79+0.417*SQRT(H8)-0.246*H8</f>
        <v>-0.61329346088290393</v>
      </c>
      <c r="T8" s="9">
        <f>P8+Q8*I8+R8*I8^2+S8*I8^3</f>
        <v>1.1258132432600041</v>
      </c>
      <c r="U8" s="6" t="s">
        <v>169</v>
      </c>
    </row>
    <row r="9" spans="1:21" x14ac:dyDescent="0.3">
      <c r="A9" s="6" t="s">
        <v>167</v>
      </c>
      <c r="B9" s="6">
        <f>0.25*0.0254</f>
        <v>6.3499999999999997E-3</v>
      </c>
      <c r="C9" s="6">
        <f>0.135*0.0254</f>
        <v>3.4290000000000002E-3</v>
      </c>
      <c r="D9" s="6">
        <f>0.12*0.0254</f>
        <v>3.0479999999999999E-3</v>
      </c>
      <c r="E9" s="6">
        <f>(B9-C9)/2</f>
        <v>1.4604999999999998E-3</v>
      </c>
      <c r="F9" s="6">
        <f>B9/C9</f>
        <v>1.8518518518518516</v>
      </c>
      <c r="G9" s="6">
        <f t="shared" si="0"/>
        <v>0.88888888888888884</v>
      </c>
      <c r="H9" s="6">
        <f t="shared" si="0"/>
        <v>0.47916666666666663</v>
      </c>
      <c r="I9" s="96">
        <f>2*E9/B9</f>
        <v>0.45999999999999996</v>
      </c>
      <c r="J9" s="6">
        <f>0.927+1.149*SQRT(H9)-0.086*H9</f>
        <v>1.6811509015410724</v>
      </c>
      <c r="K9" s="6">
        <f>0.011-3.029*SQRT(H9)+0.948*H9</f>
        <v>-1.6314803067315702</v>
      </c>
      <c r="L9" s="6">
        <f>-0.304+3.979*SQRT(H9)-1.737*H9</f>
        <v>1.6180255292125851</v>
      </c>
      <c r="M9" s="6">
        <f>0.366-2.098*SQRT(H9)+0.875*H9</f>
        <v>-0.66700390536684329</v>
      </c>
      <c r="N9" s="6">
        <f>J9+K9*I9+L9*I9^2+M9*I9^3</f>
        <v>1.2081206702931462</v>
      </c>
      <c r="O9" s="77">
        <f>0.493+0.48*F9^-2.43+(G9^-0.48)*SQRT((3.43-3.41*F9^2+0.0232*F9^4)/(1-8.85*F9^2-0.078*F9^4))</f>
        <v>1.1441085760619405</v>
      </c>
      <c r="P9" s="6">
        <f>0.927+1.149*SQRT(H9)-0.086*H9</f>
        <v>1.6811509015410724</v>
      </c>
      <c r="Q9" s="6">
        <f>0.015-3.281*SQRT(H9)+0.837*H9</f>
        <v>-1.8551069078528502</v>
      </c>
      <c r="R9" s="6">
        <f>0.847+1.716*SQRT(H9)-0.506*H9</f>
        <v>1.7923888790639515</v>
      </c>
      <c r="S9" s="6">
        <f>-0.79+0.417*SQRT(H9)-0.246*H9</f>
        <v>-0.61921982076359694</v>
      </c>
      <c r="T9" s="75">
        <f>P9+Q9*I9+R9*I9^2+S9*I9^3</f>
        <v>1.146798830264848</v>
      </c>
      <c r="U9" s="6" t="s">
        <v>170</v>
      </c>
    </row>
    <row r="10" spans="1:21" x14ac:dyDescent="0.3">
      <c r="A10" s="6" t="s">
        <v>201</v>
      </c>
      <c r="B10" s="6">
        <f>0.25*0.0254</f>
        <v>6.3499999999999997E-3</v>
      </c>
      <c r="C10" s="6">
        <f>0.11*0.0254</f>
        <v>2.794E-3</v>
      </c>
      <c r="D10" s="6">
        <f>0.12*0.0254</f>
        <v>3.0479999999999999E-3</v>
      </c>
      <c r="E10" s="6">
        <f>(B10-C10)/2</f>
        <v>1.7779999999999998E-3</v>
      </c>
      <c r="F10" s="6">
        <f>B10/C10</f>
        <v>2.2727272727272725</v>
      </c>
      <c r="G10" s="6">
        <f t="shared" si="0"/>
        <v>1.0909090909090908</v>
      </c>
      <c r="H10" s="6">
        <f t="shared" si="0"/>
        <v>0.58333333333333326</v>
      </c>
      <c r="I10" s="96">
        <f>2*E10/B10</f>
        <v>0.55999999999999994</v>
      </c>
      <c r="J10" s="6">
        <f>0.927+1.149*SQRT(H10)-0.086*H10</f>
        <v>1.7543965789173765</v>
      </c>
      <c r="K10" s="6">
        <f>0.011-3.029*SQRT(H10)+0.948*H10</f>
        <v>-1.7494369633368727</v>
      </c>
      <c r="L10" s="6">
        <f>-0.304+3.979*SQRT(H10)-1.737*H10</f>
        <v>1.721761448371548</v>
      </c>
      <c r="M10" s="6">
        <f>0.366-2.098*SQRT(H10)+0.875*H10</f>
        <v>-0.72595730133622538</v>
      </c>
      <c r="N10" s="6">
        <f>J10+K10*I10+L10*I10^2+M10*I10^3</f>
        <v>1.1871665522265826</v>
      </c>
      <c r="O10" s="77">
        <f>0.493+0.48*F10^-2.43+(G10^-0.48)*SQRT((3.43-3.41*F10^2+0.0232*F10^4)/(1-8.85*F10^2-0.078*F10^4))</f>
        <v>1.0746700522603958</v>
      </c>
      <c r="P10" s="6">
        <f>0.927+1.149*SQRT(H10)-0.086*H10</f>
        <v>1.7543965789173765</v>
      </c>
      <c r="Q10" s="6">
        <f>0.015-3.281*SQRT(H10)+0.837*H10</f>
        <v>-2.0026551425250183</v>
      </c>
      <c r="R10" s="6">
        <f>0.847+1.716*SQRT(H10)-0.506*H10</f>
        <v>1.8624499820907034</v>
      </c>
      <c r="S10" s="6">
        <f>-0.79+0.417*SQRT(H10)-0.246*H10</f>
        <v>-0.61501098920056918</v>
      </c>
      <c r="T10" s="75">
        <f>P10+Q10*I10+R10*I10^2+S10*I10^3</f>
        <v>1.1089682436075639</v>
      </c>
      <c r="U10" s="6" t="s">
        <v>170</v>
      </c>
    </row>
    <row r="11" spans="1:21" ht="29.4" customHeight="1" x14ac:dyDescent="0.3">
      <c r="A11" s="14" t="s">
        <v>209</v>
      </c>
      <c r="B11" s="6">
        <f>0.25*0.0254</f>
        <v>6.3499999999999997E-3</v>
      </c>
      <c r="C11" s="6">
        <f>0.135*0.0254</f>
        <v>3.4290000000000002E-3</v>
      </c>
      <c r="D11" s="6">
        <f>0.12*0.0254</f>
        <v>3.0479999999999999E-3</v>
      </c>
      <c r="E11" s="6">
        <f>(B11-C11)/2</f>
        <v>1.4604999999999998E-3</v>
      </c>
      <c r="F11" s="6">
        <f>B11/C11</f>
        <v>1.8518518518518516</v>
      </c>
      <c r="G11" s="6">
        <f t="shared" si="0"/>
        <v>0.88888888888888884</v>
      </c>
      <c r="H11" s="6">
        <f t="shared" si="0"/>
        <v>0.47916666666666663</v>
      </c>
      <c r="I11" s="96">
        <f>2*E11/B11</f>
        <v>0.45999999999999996</v>
      </c>
      <c r="J11" s="6">
        <f>0.927+1.149*SQRT(H11)-0.086*H11</f>
        <v>1.6811509015410724</v>
      </c>
      <c r="K11" s="6">
        <f>0.011-3.029*SQRT(H11)+0.948*H11</f>
        <v>-1.6314803067315702</v>
      </c>
      <c r="L11" s="6">
        <f>-0.304+3.979*SQRT(H11)-1.737*H11</f>
        <v>1.6180255292125851</v>
      </c>
      <c r="M11" s="6">
        <f>0.366-2.098*SQRT(H11)+0.875*H11</f>
        <v>-0.66700390536684329</v>
      </c>
      <c r="N11" s="6">
        <f>J11+K11*I11+L11*I11^2+M11*I11^3</f>
        <v>1.2081206702931462</v>
      </c>
      <c r="O11" s="77">
        <f>0.493+0.48*F11^-2.43+(G11^-0.48)*SQRT((3.43-3.41*F11^2+0.0232*F11^4)/(1-8.85*F11^2-0.078*F11^4))</f>
        <v>1.1441085760619405</v>
      </c>
      <c r="P11" s="6">
        <f>0.927+1.149*SQRT(H11)-0.086*H11</f>
        <v>1.6811509015410724</v>
      </c>
      <c r="Q11" s="6">
        <f>0.015-3.281*SQRT(H11)+0.837*H11</f>
        <v>-1.8551069078528502</v>
      </c>
      <c r="R11" s="6">
        <f>0.847+1.716*SQRT(H11)-0.506*H11</f>
        <v>1.7923888790639515</v>
      </c>
      <c r="S11" s="6">
        <f>-0.79+0.417*SQRT(H11)-0.246*H11</f>
        <v>-0.61921982076359694</v>
      </c>
      <c r="T11" s="75">
        <f>P11+Q11*I11+R11*I11^2+S11*I11^3</f>
        <v>1.146798830264848</v>
      </c>
      <c r="U11" s="6" t="s">
        <v>170</v>
      </c>
    </row>
    <row r="12" spans="1:21" x14ac:dyDescent="0.3">
      <c r="A12" s="6" t="s">
        <v>212</v>
      </c>
      <c r="B12" s="6">
        <f>0.25*0.0254</f>
        <v>6.3499999999999997E-3</v>
      </c>
      <c r="C12" s="6">
        <f>0.154*0.0254</f>
        <v>3.9115999999999995E-3</v>
      </c>
      <c r="D12" s="6">
        <f>0.1*0.0254</f>
        <v>2.5400000000000002E-3</v>
      </c>
      <c r="E12" s="6">
        <f>(B12-C12)/2</f>
        <v>1.2192000000000001E-3</v>
      </c>
      <c r="F12" s="6">
        <f>B12/C12</f>
        <v>1.6233766233766236</v>
      </c>
      <c r="G12" s="6">
        <f t="shared" si="0"/>
        <v>0.64935064935064946</v>
      </c>
      <c r="H12" s="6">
        <f t="shared" si="0"/>
        <v>0.48000000000000004</v>
      </c>
      <c r="I12" s="96">
        <f>2*E12/B12</f>
        <v>0.38400000000000006</v>
      </c>
      <c r="J12" s="6">
        <f>0.927+1.149*SQRT(H12)-0.086*H12</f>
        <v>1.681770551158656</v>
      </c>
      <c r="K12" s="6">
        <f>0.011-3.029*SQRT(H12)+0.948*H12</f>
        <v>-1.6325127584504515</v>
      </c>
      <c r="L12" s="6">
        <f>-0.304+3.979*SQRT(H12)-1.737*H12</f>
        <v>1.6189720653266253</v>
      </c>
      <c r="M12" s="6">
        <f>0.366-2.098*SQRT(H12)+0.875*H12</f>
        <v>-0.66753703771180184</v>
      </c>
      <c r="N12" s="6">
        <f>J12+K12*I12+L12*I12^2+M12*I12^3</f>
        <v>1.2558147776682782</v>
      </c>
      <c r="O12" s="77">
        <f>0.493+0.48*F12^-2.43+(G12^-0.48)*SQRT((3.43-3.41*F12^2+0.0232*F12^4)/(1-8.85*F12^2-0.078*F12^4))</f>
        <v>1.2385264026568441</v>
      </c>
      <c r="P12" s="6">
        <f>0.927+1.149*SQRT(H12)-0.086*H12</f>
        <v>1.681770551158656</v>
      </c>
      <c r="Q12" s="6">
        <f>0.015-3.281*SQRT(H12)+0.837*H12</f>
        <v>-1.8563834798533945</v>
      </c>
      <c r="R12" s="6">
        <f>0.847+1.716*SQRT(H12)-0.506*H12</f>
        <v>1.7929996743152774</v>
      </c>
      <c r="S12" s="6">
        <f>-0.79+0.417*SQRT(H12)-0.246*H12</f>
        <v>-0.61917392529751125</v>
      </c>
      <c r="T12" s="75">
        <f>P12+Q12*I12+R12*I12^2+S12*I12^3</f>
        <v>1.1982483053045769</v>
      </c>
      <c r="U12" s="6"/>
    </row>
  </sheetData>
  <mergeCells count="4">
    <mergeCell ref="P5:T5"/>
    <mergeCell ref="J6:N6"/>
    <mergeCell ref="J5:O5"/>
    <mergeCell ref="P6:T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election activeCell="E6" sqref="E6:E7"/>
    </sheetView>
  </sheetViews>
  <sheetFormatPr defaultRowHeight="14.4" x14ac:dyDescent="0.3"/>
  <cols>
    <col min="6" max="6" width="10" customWidth="1"/>
  </cols>
  <sheetData>
    <row r="1" spans="1:11" ht="18" x14ac:dyDescent="0.35">
      <c r="A1" s="61" t="s">
        <v>111</v>
      </c>
      <c r="K1" s="60" t="s">
        <v>103</v>
      </c>
    </row>
    <row r="3" spans="1:11" x14ac:dyDescent="0.3">
      <c r="B3" s="6" t="s">
        <v>108</v>
      </c>
      <c r="C3" s="6" t="s">
        <v>109</v>
      </c>
      <c r="D3" s="6" t="s">
        <v>110</v>
      </c>
      <c r="E3" s="6" t="s">
        <v>105</v>
      </c>
      <c r="F3" s="6" t="s">
        <v>106</v>
      </c>
      <c r="G3" s="6" t="s">
        <v>104</v>
      </c>
      <c r="H3" s="6" t="s">
        <v>107</v>
      </c>
    </row>
    <row r="4" spans="1:11" x14ac:dyDescent="0.3">
      <c r="B4" s="6">
        <f>2*0.155</f>
        <v>0.31</v>
      </c>
      <c r="C4" s="6">
        <v>0.13500000000000001</v>
      </c>
      <c r="D4" s="6">
        <v>0.12</v>
      </c>
      <c r="E4" s="6">
        <f>B4/C4</f>
        <v>2.2962962962962963</v>
      </c>
      <c r="F4" s="6">
        <f>D4/C4</f>
        <v>0.88888888888888884</v>
      </c>
      <c r="G4" s="6">
        <f>0.493+0.48*E4^-2.43+(F4^-0.48)*SQRT((3.43-3.41*E4^2+0.0232*E4^4)/(1-8.85*E4^2-0.078*E4^4))</f>
        <v>1.1272033570308175</v>
      </c>
      <c r="H4" s="6">
        <f>4-2.84*E4^-8.47+((-11.27+11.14*E4)/(1-1.27*E4))*LN(F4)+(-0.44+0.9*E4^-3.17)*LN(F4)^2</f>
        <v>4.8718995967144894</v>
      </c>
    </row>
    <row r="6" spans="1:11" ht="43.2" x14ac:dyDescent="0.3">
      <c r="B6" s="6" t="s">
        <v>112</v>
      </c>
      <c r="C6" s="6" t="s">
        <v>113</v>
      </c>
      <c r="D6" s="14" t="s">
        <v>39</v>
      </c>
      <c r="E6" s="14" t="s">
        <v>114</v>
      </c>
    </row>
    <row r="7" spans="1:11" x14ac:dyDescent="0.3">
      <c r="B7" s="6">
        <v>170</v>
      </c>
      <c r="C7" s="6">
        <f>PI()*C4^2/4</f>
        <v>1.4313881527918496E-2</v>
      </c>
      <c r="D7" s="62">
        <f>6894.7572*B7/C7</f>
        <v>81886155.178374335</v>
      </c>
      <c r="E7" s="62">
        <f>G4*D7</f>
        <v>92302349.011410013</v>
      </c>
      <c r="F7" s="6" t="s">
        <v>115</v>
      </c>
      <c r="G7" s="63">
        <f>(E8-E7)/E8</f>
        <v>1.806011689989348E-2</v>
      </c>
      <c r="H7" s="6" t="s">
        <v>117</v>
      </c>
    </row>
    <row r="8" spans="1:11" x14ac:dyDescent="0.3">
      <c r="D8" s="7">
        <v>82000000</v>
      </c>
      <c r="E8" s="7">
        <v>94000000</v>
      </c>
      <c r="F8" s="6" t="s">
        <v>116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6"/>
  <sheetViews>
    <sheetView workbookViewId="0">
      <selection activeCell="I13" sqref="I13:J13"/>
    </sheetView>
  </sheetViews>
  <sheetFormatPr defaultRowHeight="14.4" x14ac:dyDescent="0.3"/>
  <cols>
    <col min="1" max="1" width="14.109375" customWidth="1"/>
    <col min="2" max="2" width="13.6640625" customWidth="1"/>
    <col min="3" max="4" width="13.5546875" customWidth="1"/>
    <col min="5" max="5" width="8.44140625" customWidth="1"/>
    <col min="9" max="9" width="9" customWidth="1"/>
    <col min="10" max="10" width="8.5546875" customWidth="1"/>
    <col min="11" max="11" width="8.33203125" customWidth="1"/>
    <col min="12" max="12" width="6.77734375" customWidth="1"/>
    <col min="13" max="13" width="5.44140625" customWidth="1"/>
    <col min="15" max="15" width="13" customWidth="1"/>
    <col min="19" max="19" width="10" bestFit="1" customWidth="1"/>
  </cols>
  <sheetData>
    <row r="1" spans="1:19" ht="15.6" x14ac:dyDescent="0.3">
      <c r="A1" s="61" t="s">
        <v>111</v>
      </c>
    </row>
    <row r="2" spans="1:19" ht="15.6" x14ac:dyDescent="0.3">
      <c r="A2" s="65">
        <v>196500000000</v>
      </c>
      <c r="B2" t="s">
        <v>125</v>
      </c>
    </row>
    <row r="3" spans="1:19" ht="15.6" x14ac:dyDescent="0.3">
      <c r="A3" s="65">
        <f>2*0.155*0.0254</f>
        <v>7.8739999999999991E-3</v>
      </c>
      <c r="B3" t="s">
        <v>151</v>
      </c>
    </row>
    <row r="4" spans="1:19" ht="15.6" x14ac:dyDescent="0.3">
      <c r="A4" s="66">
        <f>0.135*0.0254</f>
        <v>3.4290000000000002E-3</v>
      </c>
      <c r="B4" t="s">
        <v>126</v>
      </c>
    </row>
    <row r="5" spans="1:19" ht="15.6" x14ac:dyDescent="0.3">
      <c r="A5" s="66">
        <f>0.12*0.0254</f>
        <v>3.0479999999999999E-3</v>
      </c>
      <c r="B5" t="s">
        <v>152</v>
      </c>
    </row>
    <row r="6" spans="1:19" ht="15.6" x14ac:dyDescent="0.3">
      <c r="A6" s="73">
        <f>A3/A4</f>
        <v>2.2962962962962958</v>
      </c>
      <c r="B6" t="s">
        <v>105</v>
      </c>
    </row>
    <row r="7" spans="1:19" ht="15.6" x14ac:dyDescent="0.3">
      <c r="A7" s="73">
        <f>A5/A4</f>
        <v>0.88888888888888884</v>
      </c>
      <c r="B7" t="s">
        <v>106</v>
      </c>
    </row>
    <row r="8" spans="1:19" x14ac:dyDescent="0.3">
      <c r="A8" s="67">
        <f>PI()*A4^4/64</f>
        <v>6.7864060188708305E-12</v>
      </c>
      <c r="B8" t="s">
        <v>127</v>
      </c>
      <c r="F8" s="126" t="s">
        <v>132</v>
      </c>
      <c r="G8" s="127"/>
      <c r="H8" s="127"/>
      <c r="I8" s="127" t="s">
        <v>131</v>
      </c>
      <c r="J8" s="127"/>
      <c r="K8" s="127"/>
      <c r="L8" s="127"/>
      <c r="M8" s="127"/>
      <c r="N8" s="127" t="s">
        <v>149</v>
      </c>
      <c r="O8" s="127"/>
      <c r="P8" s="127"/>
      <c r="Q8" s="127"/>
    </row>
    <row r="9" spans="1:19" ht="57.6" x14ac:dyDescent="0.3">
      <c r="B9" s="14" t="s">
        <v>119</v>
      </c>
      <c r="C9" s="14" t="s">
        <v>142</v>
      </c>
      <c r="D9" s="6" t="s">
        <v>120</v>
      </c>
      <c r="E9" s="14" t="s">
        <v>150</v>
      </c>
      <c r="F9" s="68" t="s">
        <v>123</v>
      </c>
      <c r="G9" s="14" t="s">
        <v>133</v>
      </c>
      <c r="H9" s="14" t="s">
        <v>134</v>
      </c>
      <c r="I9" s="14" t="s">
        <v>135</v>
      </c>
      <c r="J9" s="71" t="s">
        <v>136</v>
      </c>
      <c r="K9" s="14" t="s">
        <v>137</v>
      </c>
      <c r="L9" s="14" t="s">
        <v>138</v>
      </c>
      <c r="M9" s="14" t="s">
        <v>139</v>
      </c>
      <c r="N9" s="14" t="s">
        <v>143</v>
      </c>
      <c r="O9" s="14" t="s">
        <v>145</v>
      </c>
      <c r="P9" s="14" t="s">
        <v>146</v>
      </c>
      <c r="Q9" s="14" t="s">
        <v>139</v>
      </c>
    </row>
    <row r="10" spans="1:19" x14ac:dyDescent="0.3">
      <c r="B10" s="6" t="s">
        <v>129</v>
      </c>
      <c r="C10" s="6" t="s">
        <v>129</v>
      </c>
      <c r="D10" s="6" t="s">
        <v>189</v>
      </c>
      <c r="E10" s="6" t="s">
        <v>121</v>
      </c>
      <c r="F10" s="69" t="s">
        <v>128</v>
      </c>
      <c r="G10" s="9" t="s">
        <v>124</v>
      </c>
      <c r="H10" s="9" t="s">
        <v>124</v>
      </c>
      <c r="I10" s="9" t="s">
        <v>124</v>
      </c>
      <c r="J10" s="9" t="s">
        <v>130</v>
      </c>
      <c r="K10" s="9" t="s">
        <v>130</v>
      </c>
      <c r="L10" s="9" t="s">
        <v>141</v>
      </c>
      <c r="M10" s="9" t="s">
        <v>140</v>
      </c>
      <c r="N10" s="9" t="s">
        <v>144</v>
      </c>
      <c r="O10" s="9" t="s">
        <v>140</v>
      </c>
      <c r="P10" s="9" t="s">
        <v>144</v>
      </c>
      <c r="Q10" s="9" t="s">
        <v>140</v>
      </c>
    </row>
    <row r="11" spans="1:19" x14ac:dyDescent="0.3">
      <c r="B11" s="6">
        <f>(38.165-0.33)*0.0254</f>
        <v>0.961009</v>
      </c>
      <c r="C11" s="6">
        <f>(35.25+5.18)*0.0254</f>
        <v>1.0269219999999999</v>
      </c>
      <c r="D11" s="6">
        <f>(0.509+2*0.12)*0.0254</f>
        <v>1.9024599999999999E-2</v>
      </c>
      <c r="E11" s="6">
        <v>0.9</v>
      </c>
      <c r="F11" s="70">
        <f>E11*(C11-D11)</f>
        <v>0.90710765999999987</v>
      </c>
      <c r="G11" s="7">
        <f>E11*D11^2/(2*A2*A8)</f>
        <v>1.2213529579109886E-4</v>
      </c>
      <c r="H11" s="7">
        <f>F11*D11/(A2*A8)</f>
        <v>1.2941123290484895E-2</v>
      </c>
      <c r="I11" s="7">
        <f>H11+G11</f>
        <v>1.3063258586275994E-2</v>
      </c>
      <c r="J11" s="7">
        <f>F11*D11^3/(3*A2*A8)</f>
        <v>1.5612835671223871E-6</v>
      </c>
      <c r="K11" s="7">
        <f>F11*D11^2/(2*A2*A8)</f>
        <v>1.2309984707607944E-4</v>
      </c>
      <c r="L11" s="13">
        <f>(I11*B11+J11+K11)*1000</f>
        <v>12.678570201381708</v>
      </c>
      <c r="M11" s="72">
        <f>ABS(L11-B24)/B24</f>
        <v>4.6724045008894162E-2</v>
      </c>
      <c r="N11" s="7">
        <f>F11*A4/(2*A8)</f>
        <v>229169324.49154744</v>
      </c>
      <c r="O11" s="6">
        <f>'stress conc factors'!T8</f>
        <v>1.1258132432600041</v>
      </c>
      <c r="P11" s="7">
        <f>O11*N11</f>
        <v>258001860.46153331</v>
      </c>
      <c r="Q11" s="72">
        <f>ABS(P11-D24)/D24</f>
        <v>2.78958584124833E-2</v>
      </c>
      <c r="S11" s="1">
        <f>H11*A2*A4/(2*D11)</f>
        <v>229169324.49154747</v>
      </c>
    </row>
    <row r="12" spans="1:19" x14ac:dyDescent="0.3">
      <c r="F12" s="1"/>
      <c r="G12" s="1"/>
    </row>
    <row r="13" spans="1:19" x14ac:dyDescent="0.3">
      <c r="I13" s="1"/>
      <c r="J13" s="1"/>
    </row>
    <row r="16" spans="1:19" x14ac:dyDescent="0.3">
      <c r="A16" s="3" t="s">
        <v>118</v>
      </c>
      <c r="B16" t="s">
        <v>96</v>
      </c>
    </row>
    <row r="17" spans="1:6" x14ac:dyDescent="0.3">
      <c r="B17" t="s">
        <v>97</v>
      </c>
    </row>
    <row r="18" spans="1:6" x14ac:dyDescent="0.3">
      <c r="B18" t="s">
        <v>98</v>
      </c>
    </row>
    <row r="19" spans="1:6" x14ac:dyDescent="0.3">
      <c r="B19" t="s">
        <v>99</v>
      </c>
    </row>
    <row r="20" spans="1:6" s="3" customFormat="1" ht="43.2" x14ac:dyDescent="0.3">
      <c r="A20" s="4" t="s">
        <v>100</v>
      </c>
      <c r="B20" s="15" t="s">
        <v>122</v>
      </c>
      <c r="C20" s="15" t="s">
        <v>147</v>
      </c>
      <c r="D20" s="15" t="s">
        <v>148</v>
      </c>
    </row>
    <row r="21" spans="1:6" x14ac:dyDescent="0.3">
      <c r="A21" s="6">
        <v>0.37</v>
      </c>
      <c r="B21" s="6">
        <v>5.5</v>
      </c>
      <c r="C21" s="6"/>
      <c r="D21" s="7">
        <v>103000000</v>
      </c>
      <c r="F21" s="1"/>
    </row>
    <row r="22" spans="1:6" x14ac:dyDescent="0.3">
      <c r="A22" s="6">
        <v>0.5</v>
      </c>
      <c r="B22" s="6">
        <v>7.4</v>
      </c>
      <c r="C22" s="6"/>
      <c r="D22" s="7">
        <v>140000000</v>
      </c>
      <c r="F22" s="1"/>
    </row>
    <row r="23" spans="1:6" x14ac:dyDescent="0.3">
      <c r="A23" s="6">
        <v>0.7</v>
      </c>
      <c r="B23" s="6">
        <v>10.4</v>
      </c>
      <c r="C23" s="6"/>
      <c r="D23" s="7">
        <v>195000000</v>
      </c>
      <c r="F23" s="1"/>
    </row>
    <row r="24" spans="1:6" x14ac:dyDescent="0.3">
      <c r="A24" s="6">
        <v>0.9</v>
      </c>
      <c r="B24" s="6">
        <v>13.3</v>
      </c>
      <c r="C24" s="7">
        <v>231000000</v>
      </c>
      <c r="D24" s="7">
        <v>251000000</v>
      </c>
      <c r="F24" s="1"/>
    </row>
    <row r="26" spans="1:6" x14ac:dyDescent="0.3">
      <c r="A26" t="s">
        <v>101</v>
      </c>
    </row>
  </sheetData>
  <mergeCells count="3">
    <mergeCell ref="F8:H8"/>
    <mergeCell ref="I8:M8"/>
    <mergeCell ref="N8:Q8"/>
  </mergeCells>
  <pageMargins left="0.7" right="0.7" top="0.75" bottom="0.75" header="0.3" footer="0.3"/>
  <pageSetup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7"/>
  <sheetViews>
    <sheetView workbookViewId="0">
      <selection activeCell="B7" sqref="B7"/>
    </sheetView>
  </sheetViews>
  <sheetFormatPr defaultRowHeight="14.4" x14ac:dyDescent="0.3"/>
  <cols>
    <col min="1" max="1" width="31.5546875" customWidth="1"/>
    <col min="2" max="2" width="9.88671875" customWidth="1"/>
    <col min="3" max="3" width="10.33203125" customWidth="1"/>
    <col min="4" max="4" width="16.5546875" customWidth="1"/>
    <col min="5" max="5" width="13.44140625" style="10" customWidth="1"/>
    <col min="6" max="6" width="10" style="10" customWidth="1"/>
    <col min="7" max="8" width="11.109375" customWidth="1"/>
    <col min="9" max="9" width="11.109375" style="10" customWidth="1"/>
    <col min="10" max="10" width="11.109375" customWidth="1"/>
    <col min="11" max="11" width="15" style="2" customWidth="1"/>
    <col min="12" max="12" width="14.88671875" style="2" customWidth="1"/>
    <col min="13" max="13" width="9.5546875" customWidth="1"/>
    <col min="14" max="14" width="10.6640625" style="2" customWidth="1"/>
    <col min="15" max="15" width="26.5546875" customWidth="1"/>
    <col min="16" max="16" width="26.44140625" customWidth="1"/>
    <col min="17" max="17" width="12.5546875" customWidth="1"/>
    <col min="18" max="18" width="26.44140625" customWidth="1"/>
    <col min="19" max="19" width="11.88671875" customWidth="1"/>
  </cols>
  <sheetData>
    <row r="1" spans="1:23" s="20" customFormat="1" ht="23.4" x14ac:dyDescent="0.45">
      <c r="A1" s="20" t="s">
        <v>42</v>
      </c>
      <c r="E1" s="26"/>
      <c r="F1" s="26"/>
      <c r="I1" s="21"/>
      <c r="K1" s="22"/>
      <c r="L1" s="22"/>
      <c r="N1" s="22"/>
    </row>
    <row r="2" spans="1:23" s="20" customFormat="1" ht="23.4" x14ac:dyDescent="0.45">
      <c r="A2" s="20" t="s">
        <v>36</v>
      </c>
      <c r="E2" s="21"/>
      <c r="F2" s="21"/>
      <c r="I2" s="21"/>
      <c r="K2" s="22"/>
      <c r="L2" s="22"/>
      <c r="N2" s="22"/>
    </row>
    <row r="4" spans="1:23" x14ac:dyDescent="0.3">
      <c r="A4" s="3"/>
      <c r="B4" s="128" t="s">
        <v>17</v>
      </c>
      <c r="C4" s="128"/>
      <c r="D4" s="128"/>
      <c r="E4" s="128"/>
      <c r="F4" s="33"/>
      <c r="K4" s="129" t="s">
        <v>59</v>
      </c>
      <c r="L4" s="129"/>
      <c r="M4" s="129"/>
      <c r="N4" s="129"/>
      <c r="O4" s="129"/>
      <c r="P4" s="129"/>
      <c r="Q4" s="129"/>
      <c r="S4" t="s">
        <v>15</v>
      </c>
      <c r="T4">
        <v>0.13500000000000001</v>
      </c>
      <c r="U4" t="s">
        <v>3</v>
      </c>
      <c r="V4">
        <f>T4*0.0254</f>
        <v>3.4290000000000002E-3</v>
      </c>
      <c r="W4" t="s">
        <v>8</v>
      </c>
    </row>
    <row r="5" spans="1:23" x14ac:dyDescent="0.3">
      <c r="A5" s="4" t="s">
        <v>16</v>
      </c>
      <c r="B5" s="4" t="s">
        <v>18</v>
      </c>
      <c r="C5" s="4" t="s">
        <v>32</v>
      </c>
      <c r="D5" s="4" t="s">
        <v>19</v>
      </c>
      <c r="E5" s="4" t="s">
        <v>33</v>
      </c>
      <c r="F5" s="23"/>
      <c r="G5" s="10"/>
      <c r="H5" s="10"/>
      <c r="J5" s="10"/>
      <c r="K5" s="129"/>
      <c r="L5" s="129"/>
      <c r="M5" s="129"/>
      <c r="N5" s="129"/>
      <c r="O5" s="129"/>
      <c r="P5" s="129"/>
      <c r="Q5" s="129"/>
      <c r="R5" s="2"/>
      <c r="S5" t="s">
        <v>7</v>
      </c>
      <c r="T5">
        <f>T4/2</f>
        <v>6.7500000000000004E-2</v>
      </c>
      <c r="U5" t="s">
        <v>3</v>
      </c>
      <c r="V5">
        <f>T5*0.0254</f>
        <v>1.7145000000000001E-3</v>
      </c>
      <c r="W5" t="s">
        <v>8</v>
      </c>
    </row>
    <row r="6" spans="1:23" x14ac:dyDescent="0.3">
      <c r="A6" s="6" t="s">
        <v>12</v>
      </c>
      <c r="B6" s="7">
        <v>1950000000</v>
      </c>
      <c r="C6" s="7">
        <f>B6*0.000145038</f>
        <v>282824.09999999998</v>
      </c>
      <c r="D6" s="6"/>
      <c r="E6" s="6"/>
      <c r="F6" s="25"/>
      <c r="G6" s="10"/>
      <c r="H6" s="10"/>
      <c r="J6" s="10"/>
      <c r="K6" s="129"/>
      <c r="L6" s="129"/>
      <c r="M6" s="129"/>
      <c r="N6" s="129"/>
      <c r="O6" s="129"/>
      <c r="P6" s="129"/>
      <c r="Q6" s="129"/>
      <c r="R6" s="2"/>
      <c r="S6" t="s">
        <v>2</v>
      </c>
      <c r="T6">
        <f>PI()*T5^2</f>
        <v>1.4313881527918496E-2</v>
      </c>
      <c r="U6" t="s">
        <v>4</v>
      </c>
      <c r="V6">
        <f>T6*0.0254^2</f>
        <v>9.2347438065518968E-6</v>
      </c>
      <c r="W6" t="s">
        <v>9</v>
      </c>
    </row>
    <row r="7" spans="1:23" x14ac:dyDescent="0.3">
      <c r="A7" s="9" t="s">
        <v>13</v>
      </c>
      <c r="B7" s="16">
        <v>240000000</v>
      </c>
      <c r="C7" s="7">
        <f>B7*0.000145038</f>
        <v>34809.120000000003</v>
      </c>
      <c r="D7" s="16">
        <v>550000000</v>
      </c>
      <c r="E7" s="7">
        <f t="shared" ref="E7:E9" si="0">D7*0.000145038</f>
        <v>79770.900000000009</v>
      </c>
      <c r="F7" s="27"/>
      <c r="G7" s="11"/>
      <c r="H7" s="11"/>
      <c r="I7" s="11"/>
      <c r="J7" s="11"/>
      <c r="K7" s="129"/>
      <c r="L7" s="129"/>
      <c r="M7" s="129"/>
      <c r="N7" s="129"/>
      <c r="O7" s="129"/>
      <c r="P7" s="129"/>
      <c r="Q7" s="129"/>
      <c r="R7" s="2"/>
      <c r="S7" t="s">
        <v>0</v>
      </c>
      <c r="T7">
        <v>170</v>
      </c>
      <c r="U7" t="s">
        <v>5</v>
      </c>
      <c r="V7">
        <f>T7/2.205</f>
        <v>77.097505668934232</v>
      </c>
      <c r="W7" t="s">
        <v>10</v>
      </c>
    </row>
    <row r="8" spans="1:23" x14ac:dyDescent="0.3">
      <c r="A8" s="9" t="s">
        <v>14</v>
      </c>
      <c r="B8" s="16">
        <v>205000000</v>
      </c>
      <c r="C8" s="7">
        <f>B8*0.000145038</f>
        <v>29732.79</v>
      </c>
      <c r="D8" s="16">
        <v>515000000</v>
      </c>
      <c r="E8" s="7">
        <f t="shared" si="0"/>
        <v>74694.570000000007</v>
      </c>
      <c r="F8" s="27"/>
      <c r="G8" s="11"/>
      <c r="H8" s="11"/>
      <c r="I8" s="11"/>
      <c r="J8" s="11"/>
      <c r="K8" s="129"/>
      <c r="L8" s="129"/>
      <c r="M8" s="129"/>
      <c r="N8" s="129"/>
      <c r="O8" s="129"/>
      <c r="P8" s="129"/>
      <c r="Q8" s="129"/>
      <c r="R8" s="2"/>
      <c r="S8" t="s">
        <v>1</v>
      </c>
      <c r="T8" s="1">
        <f>T7/T6</f>
        <v>11876.582858983684</v>
      </c>
      <c r="U8" t="s">
        <v>6</v>
      </c>
      <c r="V8" s="1">
        <f>V7*9.8/V6</f>
        <v>81816623.328467593</v>
      </c>
      <c r="W8" t="s">
        <v>11</v>
      </c>
    </row>
    <row r="9" spans="1:23" x14ac:dyDescent="0.3">
      <c r="A9" s="9" t="s">
        <v>95</v>
      </c>
      <c r="B9" s="16">
        <v>1764000000</v>
      </c>
      <c r="C9" s="7">
        <f>B9*0.000145038</f>
        <v>255847.03200000001</v>
      </c>
      <c r="D9" s="16">
        <v>1824000000</v>
      </c>
      <c r="E9" s="7">
        <f t="shared" si="0"/>
        <v>264549.31199999998</v>
      </c>
      <c r="F9" s="27"/>
      <c r="G9" s="11"/>
      <c r="H9" s="11"/>
      <c r="I9" s="11"/>
      <c r="J9" s="11"/>
      <c r="K9" s="129"/>
      <c r="L9" s="129"/>
      <c r="M9" s="129"/>
      <c r="N9" s="129"/>
      <c r="O9" s="129"/>
      <c r="P9" s="129"/>
      <c r="Q9" s="129"/>
      <c r="R9" s="2"/>
      <c r="T9" s="1"/>
      <c r="V9" s="1"/>
    </row>
    <row r="10" spans="1:23" x14ac:dyDescent="0.3">
      <c r="K10" s="129"/>
      <c r="L10" s="129"/>
      <c r="M10" s="129"/>
      <c r="N10" s="129"/>
      <c r="O10" s="129"/>
      <c r="P10" s="129"/>
      <c r="Q10" s="129"/>
      <c r="S10" t="s">
        <v>60</v>
      </c>
      <c r="T10" s="1">
        <f>T8/C7</f>
        <v>0.34119170088136908</v>
      </c>
    </row>
    <row r="11" spans="1:23" x14ac:dyDescent="0.3">
      <c r="B11" s="114" t="s">
        <v>23</v>
      </c>
      <c r="C11" s="114"/>
      <c r="D11" s="114"/>
      <c r="G11" s="114" t="s">
        <v>63</v>
      </c>
      <c r="H11" s="114"/>
      <c r="I11" s="56"/>
      <c r="J11" s="43"/>
    </row>
    <row r="12" spans="1:23" ht="28.8" x14ac:dyDescent="0.3">
      <c r="A12" s="4" t="s">
        <v>20</v>
      </c>
      <c r="B12" s="15" t="s">
        <v>34</v>
      </c>
      <c r="C12" s="15" t="s">
        <v>35</v>
      </c>
      <c r="D12" s="4" t="s">
        <v>22</v>
      </c>
      <c r="E12" s="12" t="s">
        <v>21</v>
      </c>
      <c r="F12" s="34" t="s">
        <v>57</v>
      </c>
      <c r="G12" s="15" t="s">
        <v>39</v>
      </c>
      <c r="H12" s="15" t="s">
        <v>54</v>
      </c>
      <c r="I12" s="34" t="s">
        <v>102</v>
      </c>
      <c r="J12" s="15" t="s">
        <v>64</v>
      </c>
      <c r="K12" s="5" t="s">
        <v>25</v>
      </c>
      <c r="L12" s="5" t="s">
        <v>70</v>
      </c>
      <c r="M12" s="15" t="s">
        <v>38</v>
      </c>
      <c r="N12" s="5" t="s">
        <v>37</v>
      </c>
      <c r="O12" s="4" t="s">
        <v>29</v>
      </c>
      <c r="P12" s="23"/>
      <c r="Q12" s="23"/>
      <c r="R12" s="23"/>
    </row>
    <row r="13" spans="1:23" ht="28.8" x14ac:dyDescent="0.3">
      <c r="A13" s="6" t="s">
        <v>26</v>
      </c>
      <c r="B13" s="17">
        <v>7.4999999999999997E-2</v>
      </c>
      <c r="C13" s="17">
        <v>0.54700000000000004</v>
      </c>
      <c r="D13" s="6" t="s">
        <v>24</v>
      </c>
      <c r="E13" s="13">
        <v>72.400000000000006</v>
      </c>
      <c r="F13" s="8">
        <v>0.05</v>
      </c>
      <c r="G13" s="7">
        <v>113000000</v>
      </c>
      <c r="H13" s="7">
        <v>130400000</v>
      </c>
      <c r="I13" s="13"/>
      <c r="J13" s="7"/>
      <c r="K13" s="8">
        <f>B6/H13</f>
        <v>14.95398773006135</v>
      </c>
      <c r="L13" s="8"/>
      <c r="M13" s="17">
        <v>7.6999999999999999E-2</v>
      </c>
      <c r="N13" s="17">
        <v>0.48199999999999998</v>
      </c>
      <c r="O13" s="14" t="s">
        <v>30</v>
      </c>
      <c r="P13" s="24"/>
      <c r="Q13" s="24"/>
      <c r="R13" s="24"/>
    </row>
    <row r="14" spans="1:23" x14ac:dyDescent="0.3">
      <c r="A14" s="6" t="s">
        <v>27</v>
      </c>
      <c r="B14" s="17">
        <v>7.4999999999999997E-2</v>
      </c>
      <c r="C14" s="17">
        <v>0.54700000000000004</v>
      </c>
      <c r="D14" s="6" t="s">
        <v>13</v>
      </c>
      <c r="E14" s="13">
        <v>72.400000000000006</v>
      </c>
      <c r="F14" s="8">
        <v>0.05</v>
      </c>
      <c r="G14" s="7">
        <f>G13</f>
        <v>113000000</v>
      </c>
      <c r="H14" s="7">
        <f>H13</f>
        <v>130400000</v>
      </c>
      <c r="I14" s="13"/>
      <c r="J14" s="7"/>
      <c r="K14" s="8">
        <f>B7/H14</f>
        <v>1.8404907975460123</v>
      </c>
      <c r="L14" s="8"/>
      <c r="M14" s="17">
        <f>M13</f>
        <v>7.6999999999999999E-2</v>
      </c>
      <c r="N14" s="17">
        <f>N13</f>
        <v>0.48199999999999998</v>
      </c>
      <c r="O14" s="6" t="s">
        <v>28</v>
      </c>
      <c r="P14" s="25"/>
      <c r="Q14" s="25"/>
      <c r="R14" s="25"/>
      <c r="S14">
        <f>(43.382)*0.0254</f>
        <v>1.1019028</v>
      </c>
      <c r="T14" t="s">
        <v>43</v>
      </c>
    </row>
    <row r="15" spans="1:23" x14ac:dyDescent="0.3">
      <c r="A15" s="9" t="s">
        <v>27</v>
      </c>
      <c r="B15" s="18">
        <v>0.1</v>
      </c>
      <c r="C15" s="18">
        <v>0.54700000000000004</v>
      </c>
      <c r="D15" s="9" t="s">
        <v>13</v>
      </c>
      <c r="E15" s="40">
        <v>72.400000000000006</v>
      </c>
      <c r="F15" s="41">
        <v>0.05</v>
      </c>
      <c r="G15" s="16">
        <v>63500000</v>
      </c>
      <c r="H15" s="16">
        <v>75200000</v>
      </c>
      <c r="I15" s="40"/>
      <c r="J15" s="16"/>
      <c r="K15" s="41">
        <f>B7/H15</f>
        <v>3.1914893617021276</v>
      </c>
      <c r="L15" s="41"/>
      <c r="M15" s="18">
        <v>0.1295</v>
      </c>
      <c r="N15" s="18">
        <v>0.495</v>
      </c>
      <c r="O15" s="9"/>
      <c r="P15" s="25"/>
      <c r="Q15" s="25"/>
      <c r="R15" s="25"/>
      <c r="S15">
        <f>SQRT(9.804/S14)/(2*PI())</f>
        <v>0.47473378468100014</v>
      </c>
      <c r="T15" t="s">
        <v>44</v>
      </c>
    </row>
    <row r="16" spans="1:23" x14ac:dyDescent="0.3">
      <c r="A16" s="35" t="s">
        <v>27</v>
      </c>
      <c r="B16" s="36">
        <v>0.1</v>
      </c>
      <c r="C16" s="36">
        <v>0.54700000000000004</v>
      </c>
      <c r="D16" s="35" t="s">
        <v>13</v>
      </c>
      <c r="E16" s="37">
        <v>72.400000000000006</v>
      </c>
      <c r="F16" s="38">
        <v>0.1</v>
      </c>
      <c r="G16" s="39">
        <v>63500000</v>
      </c>
      <c r="H16" s="39">
        <v>69960000</v>
      </c>
      <c r="I16" s="37"/>
      <c r="J16" s="39"/>
      <c r="K16" s="38">
        <f>B7/H16</f>
        <v>3.4305317324185247</v>
      </c>
      <c r="L16" s="38"/>
      <c r="M16" s="36">
        <v>0.14699999999999999</v>
      </c>
      <c r="N16" s="36">
        <v>0.499</v>
      </c>
      <c r="O16" s="35"/>
      <c r="P16" s="25"/>
      <c r="Q16" s="25"/>
      <c r="R16" s="25"/>
    </row>
    <row r="17" spans="1:20" x14ac:dyDescent="0.3">
      <c r="A17" s="9" t="s">
        <v>27</v>
      </c>
      <c r="B17" s="18">
        <v>0.1</v>
      </c>
      <c r="C17" s="18">
        <v>0.54700000000000004</v>
      </c>
      <c r="D17" s="9" t="s">
        <v>13</v>
      </c>
      <c r="E17" s="40">
        <v>20</v>
      </c>
      <c r="F17" s="41">
        <v>0.05</v>
      </c>
      <c r="G17" s="16">
        <v>17500000</v>
      </c>
      <c r="H17" s="16">
        <v>21500000</v>
      </c>
      <c r="I17" s="40"/>
      <c r="J17" s="16"/>
      <c r="K17" s="41">
        <f>B7/H17</f>
        <v>11.162790697674419</v>
      </c>
      <c r="L17" s="41"/>
      <c r="M17" s="18">
        <v>0.27200000000000002</v>
      </c>
      <c r="N17" s="18">
        <v>0.55200000000000005</v>
      </c>
      <c r="O17" s="9"/>
      <c r="P17" s="25"/>
      <c r="Q17" s="25"/>
      <c r="R17" s="25"/>
      <c r="S17">
        <f>0.1*0.0254</f>
        <v>2.5400000000000002E-3</v>
      </c>
      <c r="T17" t="s">
        <v>45</v>
      </c>
    </row>
    <row r="18" spans="1:20" x14ac:dyDescent="0.3">
      <c r="A18" s="35" t="s">
        <v>27</v>
      </c>
      <c r="B18" s="36">
        <v>0.1</v>
      </c>
      <c r="C18" s="36">
        <v>0.54700000000000004</v>
      </c>
      <c r="D18" s="35" t="s">
        <v>13</v>
      </c>
      <c r="E18" s="37">
        <v>20</v>
      </c>
      <c r="F18" s="38">
        <v>0.1</v>
      </c>
      <c r="G18" s="39">
        <v>17500000</v>
      </c>
      <c r="H18" s="39">
        <v>20750000</v>
      </c>
      <c r="I18" s="37"/>
      <c r="J18" s="39"/>
      <c r="K18" s="38">
        <f>B7/H18</f>
        <v>11.566265060240964</v>
      </c>
      <c r="L18" s="38"/>
      <c r="M18" s="36">
        <v>0.29299999999999998</v>
      </c>
      <c r="N18" s="36">
        <v>0.56299999999999994</v>
      </c>
      <c r="O18" s="54"/>
      <c r="P18" s="25"/>
      <c r="Q18" s="25"/>
      <c r="R18" s="25"/>
    </row>
    <row r="19" spans="1:20" s="50" customFormat="1" ht="60" customHeight="1" x14ac:dyDescent="0.3">
      <c r="A19" s="44" t="s">
        <v>27</v>
      </c>
      <c r="B19" s="45">
        <v>0.13500000000000001</v>
      </c>
      <c r="C19" s="45">
        <v>0.50900000000000001</v>
      </c>
      <c r="D19" s="44" t="s">
        <v>13</v>
      </c>
      <c r="E19" s="46">
        <v>170</v>
      </c>
      <c r="F19" s="47">
        <v>0.12</v>
      </c>
      <c r="G19" s="48">
        <v>82000000</v>
      </c>
      <c r="H19" s="48">
        <v>94000000</v>
      </c>
      <c r="I19" s="46"/>
      <c r="J19" s="48">
        <v>103000000</v>
      </c>
      <c r="K19" s="47">
        <f>B7/(H19+J19)</f>
        <v>1.218274111675127</v>
      </c>
      <c r="L19" s="47">
        <f>D7/(H19+J19)</f>
        <v>2.7918781725888326</v>
      </c>
      <c r="M19" s="132">
        <v>0.25</v>
      </c>
      <c r="N19" s="132">
        <v>0.51500000000000001</v>
      </c>
      <c r="O19" s="130" t="s">
        <v>62</v>
      </c>
      <c r="P19" s="131" t="s">
        <v>61</v>
      </c>
      <c r="Q19" s="49"/>
      <c r="R19" s="49"/>
    </row>
    <row r="20" spans="1:20" s="50" customFormat="1" x14ac:dyDescent="0.3">
      <c r="A20" s="44" t="s">
        <v>27</v>
      </c>
      <c r="B20" s="45">
        <v>0.13500000000000001</v>
      </c>
      <c r="C20" s="45">
        <v>0.50900000000000001</v>
      </c>
      <c r="D20" s="44" t="s">
        <v>94</v>
      </c>
      <c r="E20" s="46">
        <v>170</v>
      </c>
      <c r="F20" s="47">
        <v>0.12</v>
      </c>
      <c r="G20" s="48">
        <v>82000000</v>
      </c>
      <c r="H20" s="48">
        <v>94000000</v>
      </c>
      <c r="I20" s="46">
        <v>5.5</v>
      </c>
      <c r="J20" s="48">
        <v>103000000</v>
      </c>
      <c r="K20" s="47">
        <f>B9/(H20+J20)</f>
        <v>8.9543147208121834</v>
      </c>
      <c r="L20" s="47">
        <f>D9/(H20+J20)</f>
        <v>9.2588832487309638</v>
      </c>
      <c r="M20" s="133"/>
      <c r="N20" s="133"/>
      <c r="O20" s="130"/>
      <c r="P20" s="131"/>
      <c r="Q20" s="59">
        <f>6894.7572*E20/(PI()*B20^2/4)</f>
        <v>81886155.178374335</v>
      </c>
      <c r="R20" s="49">
        <f>(0.155-0.135/2)/0.12</f>
        <v>0.72916666666666663</v>
      </c>
    </row>
    <row r="21" spans="1:20" s="50" customFormat="1" x14ac:dyDescent="0.3">
      <c r="A21" s="44" t="s">
        <v>27</v>
      </c>
      <c r="B21" s="45">
        <v>0.13500000000000001</v>
      </c>
      <c r="C21" s="45">
        <v>0.50900000000000001</v>
      </c>
      <c r="D21" s="44" t="s">
        <v>94</v>
      </c>
      <c r="E21" s="46">
        <v>170</v>
      </c>
      <c r="F21" s="47">
        <v>0.12</v>
      </c>
      <c r="G21" s="48">
        <v>82000000</v>
      </c>
      <c r="H21" s="48">
        <v>94000000</v>
      </c>
      <c r="I21" s="46">
        <v>26</v>
      </c>
      <c r="J21" s="48">
        <f>18893000*I21</f>
        <v>491218000</v>
      </c>
      <c r="K21" s="47">
        <f>B9/(H21+J21)</f>
        <v>3.0142613521798713</v>
      </c>
      <c r="L21" s="47">
        <f>D9/(H21+J21)</f>
        <v>3.1167872485125203</v>
      </c>
      <c r="M21" s="134"/>
      <c r="N21" s="134"/>
      <c r="O21" s="57"/>
      <c r="P21" s="58"/>
      <c r="Q21" s="49"/>
      <c r="R21" s="49">
        <f>0.12/(0.135/2)</f>
        <v>1.7777777777777777</v>
      </c>
    </row>
    <row r="22" spans="1:20" x14ac:dyDescent="0.3">
      <c r="A22" s="9" t="s">
        <v>31</v>
      </c>
      <c r="B22" s="18">
        <v>0.15</v>
      </c>
      <c r="C22" s="18">
        <v>0.54700000000000004</v>
      </c>
      <c r="D22" s="9" t="s">
        <v>13</v>
      </c>
      <c r="E22" s="13">
        <v>153.5</v>
      </c>
      <c r="F22" s="8">
        <v>0.05</v>
      </c>
      <c r="G22" s="7">
        <v>59800000</v>
      </c>
      <c r="H22" s="7">
        <v>81700000</v>
      </c>
      <c r="I22" s="13"/>
      <c r="J22" s="7"/>
      <c r="K22" s="8">
        <f>B7/H22</f>
        <v>2.9375764993880047</v>
      </c>
      <c r="L22" s="8"/>
      <c r="M22" s="17">
        <v>0.19500000000000001</v>
      </c>
      <c r="N22" s="17">
        <v>0.51400000000000001</v>
      </c>
      <c r="O22" s="55" t="s">
        <v>55</v>
      </c>
      <c r="P22" s="27"/>
      <c r="Q22" s="25"/>
      <c r="R22" s="27">
        <f>H20/G20</f>
        <v>1.1463414634146341</v>
      </c>
      <c r="S22" s="1">
        <v>200000000000</v>
      </c>
      <c r="T22" t="s">
        <v>46</v>
      </c>
    </row>
    <row r="23" spans="1:20" x14ac:dyDescent="0.3">
      <c r="A23" s="9" t="s">
        <v>31</v>
      </c>
      <c r="B23" s="18">
        <v>0.154</v>
      </c>
      <c r="C23" s="18">
        <v>0.54700000000000004</v>
      </c>
      <c r="D23" s="9" t="s">
        <v>13</v>
      </c>
      <c r="E23" s="13">
        <f>E22</f>
        <v>153.5</v>
      </c>
      <c r="F23" s="8">
        <v>0.05</v>
      </c>
      <c r="G23" s="7">
        <f>G22</f>
        <v>59800000</v>
      </c>
      <c r="H23" s="7">
        <v>79700000</v>
      </c>
      <c r="I23" s="13"/>
      <c r="J23" s="7"/>
      <c r="K23" s="8">
        <f>B7/H23</f>
        <v>3.0112923462986196</v>
      </c>
      <c r="L23" s="8"/>
      <c r="M23" s="17">
        <v>0.20300000000000001</v>
      </c>
      <c r="N23" s="17">
        <v>0.51800000000000002</v>
      </c>
      <c r="O23" s="6" t="s">
        <v>56</v>
      </c>
      <c r="P23" s="1"/>
      <c r="S23">
        <f>72.4/2.205</f>
        <v>32.834467120181408</v>
      </c>
      <c r="T23" t="s">
        <v>47</v>
      </c>
    </row>
    <row r="24" spans="1:20" x14ac:dyDescent="0.3">
      <c r="A24" s="9" t="s">
        <v>31</v>
      </c>
      <c r="B24" s="18">
        <v>0.154</v>
      </c>
      <c r="C24" s="18">
        <v>1</v>
      </c>
      <c r="D24" s="9" t="s">
        <v>13</v>
      </c>
      <c r="E24" s="13">
        <f>E23</f>
        <v>153.5</v>
      </c>
      <c r="F24" s="8">
        <v>0.05</v>
      </c>
      <c r="G24" s="7">
        <f>G23</f>
        <v>59800000</v>
      </c>
      <c r="H24" s="7">
        <v>79700000</v>
      </c>
      <c r="I24" s="13"/>
      <c r="J24" s="7"/>
      <c r="K24" s="8">
        <f>B7/H24</f>
        <v>3.0112923462986196</v>
      </c>
      <c r="L24" s="8"/>
      <c r="M24" s="17">
        <v>0.158</v>
      </c>
      <c r="N24" s="17">
        <v>0.502</v>
      </c>
      <c r="O24" s="6" t="s">
        <v>56</v>
      </c>
    </row>
    <row r="25" spans="1:20" x14ac:dyDescent="0.3">
      <c r="A25" s="9" t="s">
        <v>31</v>
      </c>
      <c r="B25" s="18">
        <v>0.154</v>
      </c>
      <c r="C25" s="18">
        <v>0.308</v>
      </c>
      <c r="D25" s="9" t="s">
        <v>13</v>
      </c>
      <c r="E25" s="13">
        <f>E24</f>
        <v>153.5</v>
      </c>
      <c r="F25" s="8">
        <v>0.05</v>
      </c>
      <c r="G25" s="7">
        <f>G24</f>
        <v>59800000</v>
      </c>
      <c r="H25" s="7">
        <v>78600000</v>
      </c>
      <c r="I25" s="13"/>
      <c r="J25" s="7"/>
      <c r="K25" s="8">
        <f>B7/H25</f>
        <v>3.053435114503817</v>
      </c>
      <c r="L25" s="8"/>
      <c r="M25" s="17">
        <v>0.251</v>
      </c>
      <c r="N25" s="17">
        <v>0.53949999999999998</v>
      </c>
      <c r="O25" s="6"/>
    </row>
    <row r="26" spans="1:20" x14ac:dyDescent="0.3">
      <c r="A26" s="35" t="s">
        <v>31</v>
      </c>
      <c r="B26" s="36">
        <v>0.154</v>
      </c>
      <c r="C26" s="36">
        <v>0.54700000000000004</v>
      </c>
      <c r="D26" s="35" t="s">
        <v>13</v>
      </c>
      <c r="E26" s="37">
        <f>E25</f>
        <v>153.5</v>
      </c>
      <c r="F26" s="38">
        <v>0.1</v>
      </c>
      <c r="G26" s="39">
        <f>G25</f>
        <v>59800000</v>
      </c>
      <c r="H26" s="39">
        <v>67998000</v>
      </c>
      <c r="I26" s="37"/>
      <c r="J26" s="39"/>
      <c r="K26" s="38">
        <f>B7/H26</f>
        <v>3.5295155739874704</v>
      </c>
      <c r="L26" s="38"/>
      <c r="M26" s="36">
        <v>0.214</v>
      </c>
      <c r="N26" s="36">
        <v>0.52200000000000002</v>
      </c>
      <c r="O26" s="35" t="s">
        <v>58</v>
      </c>
      <c r="P26" s="1"/>
    </row>
    <row r="27" spans="1:20" x14ac:dyDescent="0.3">
      <c r="A27" s="28"/>
      <c r="B27" s="29"/>
      <c r="C27" s="29"/>
      <c r="D27" s="28"/>
      <c r="E27" s="30"/>
      <c r="F27" s="30"/>
      <c r="G27" s="27"/>
      <c r="H27" s="27"/>
      <c r="I27" s="30"/>
      <c r="J27" s="27"/>
      <c r="K27" s="31"/>
      <c r="L27" s="31"/>
      <c r="M27" s="32"/>
      <c r="N27" s="32"/>
      <c r="O27" s="25"/>
    </row>
    <row r="28" spans="1:20" x14ac:dyDescent="0.3">
      <c r="A28" s="28" t="s">
        <v>65</v>
      </c>
      <c r="B28" s="29"/>
      <c r="C28" s="29"/>
      <c r="D28" s="28"/>
      <c r="E28" s="30"/>
      <c r="F28" s="30"/>
      <c r="G28" s="27"/>
      <c r="H28" s="27"/>
      <c r="I28" s="30"/>
      <c r="J28" s="27"/>
      <c r="K28" s="52" t="s">
        <v>69</v>
      </c>
      <c r="L28" s="42" t="s">
        <v>3</v>
      </c>
      <c r="M28" s="53" t="s">
        <v>8</v>
      </c>
      <c r="N28" s="2" t="s">
        <v>71</v>
      </c>
      <c r="O28" s="28" t="s">
        <v>72</v>
      </c>
      <c r="P28" t="s">
        <v>73</v>
      </c>
    </row>
    <row r="29" spans="1:20" x14ac:dyDescent="0.3">
      <c r="A29" s="28"/>
      <c r="B29">
        <f>ATAN((0.62-0.373)/(2*2.202))</f>
        <v>5.6026680852734372E-2</v>
      </c>
      <c r="C29" s="29" t="s">
        <v>68</v>
      </c>
      <c r="D29" s="29" t="s">
        <v>67</v>
      </c>
      <c r="E29" s="30"/>
      <c r="F29" s="30"/>
      <c r="G29" s="27"/>
      <c r="H29" s="27"/>
      <c r="I29" s="30"/>
      <c r="J29" s="27"/>
      <c r="K29" s="31"/>
      <c r="L29" s="32">
        <f>(41.832-1.359)*TAN(B29)</f>
        <v>2.2699434604904631</v>
      </c>
      <c r="M29" s="51">
        <f>L29*0.0254</f>
        <v>5.7656563896457763E-2</v>
      </c>
      <c r="O29" s="25"/>
    </row>
    <row r="30" spans="1:20" x14ac:dyDescent="0.3">
      <c r="A30" s="28"/>
      <c r="B30">
        <f>ATAN((0.5-0.373)/(2*11.762))</f>
        <v>5.3986892601938473E-3</v>
      </c>
      <c r="C30" s="29" t="s">
        <v>68</v>
      </c>
      <c r="D30" s="29" t="s">
        <v>66</v>
      </c>
      <c r="E30" s="30"/>
      <c r="F30" s="30"/>
      <c r="G30" s="27"/>
      <c r="H30" s="27"/>
      <c r="I30" s="30"/>
      <c r="J30" s="27"/>
      <c r="K30" s="31"/>
      <c r="L30" s="32">
        <f>(41.832-1.359)*TAN(B30)</f>
        <v>0.21850327325284813</v>
      </c>
      <c r="M30" s="51">
        <f>L30*0.0254</f>
        <v>5.5499831406223424E-3</v>
      </c>
      <c r="N30" s="2">
        <f>(0.5-0.373)/2</f>
        <v>6.3500000000000001E-2</v>
      </c>
      <c r="O30" s="25">
        <v>12.552</v>
      </c>
      <c r="P30">
        <f>ACOS(1-N30/O30)</f>
        <v>0.10063027393261281</v>
      </c>
      <c r="Q30">
        <f>DEGREES(P30)</f>
        <v>5.765689987584059</v>
      </c>
    </row>
    <row r="31" spans="1:20" x14ac:dyDescent="0.3">
      <c r="A31" s="28"/>
      <c r="C31" s="29"/>
      <c r="D31" s="29"/>
      <c r="E31" s="30"/>
      <c r="F31" s="30"/>
      <c r="G31" s="27"/>
      <c r="H31" s="27"/>
      <c r="I31" s="30"/>
      <c r="J31" s="27"/>
      <c r="K31" s="31"/>
      <c r="L31" s="31"/>
      <c r="M31" s="32"/>
      <c r="N31" s="32"/>
      <c r="O31" s="25"/>
    </row>
    <row r="32" spans="1:20" x14ac:dyDescent="0.3">
      <c r="A32" s="3" t="s">
        <v>40</v>
      </c>
      <c r="K32" s="19" t="s">
        <v>41</v>
      </c>
      <c r="L32" s="19"/>
      <c r="S32">
        <f>0.547*0.0254</f>
        <v>1.3893800000000001E-2</v>
      </c>
      <c r="T32" t="s">
        <v>48</v>
      </c>
    </row>
    <row r="33" spans="19:20" x14ac:dyDescent="0.3">
      <c r="S33">
        <v>9.8040000000000003</v>
      </c>
      <c r="T33" t="s">
        <v>49</v>
      </c>
    </row>
    <row r="34" spans="19:20" x14ac:dyDescent="0.3">
      <c r="S34">
        <f>S22*PI()*S17^4/(4*S32)</f>
        <v>470.58025481083894</v>
      </c>
      <c r="T34" t="s">
        <v>52</v>
      </c>
    </row>
    <row r="35" spans="19:20" x14ac:dyDescent="0.3">
      <c r="S35">
        <f>3*S22*PI()*S17^4/(4*S32)</f>
        <v>1411.7407644325169</v>
      </c>
      <c r="T35" t="s">
        <v>53</v>
      </c>
    </row>
    <row r="36" spans="19:20" x14ac:dyDescent="0.3">
      <c r="S36">
        <f>3*S22*PI()*S17^4/(16*S32)</f>
        <v>352.93519110812923</v>
      </c>
      <c r="T36" t="s">
        <v>51</v>
      </c>
    </row>
    <row r="37" spans="19:20" x14ac:dyDescent="0.3">
      <c r="S37">
        <f>SQRT(S33/S14+S36/(S23*S14^2))/(2*PI())</f>
        <v>0.67053341165866476</v>
      </c>
      <c r="T37" t="s">
        <v>50</v>
      </c>
    </row>
  </sheetData>
  <mergeCells count="8">
    <mergeCell ref="B11:D11"/>
    <mergeCell ref="B4:E4"/>
    <mergeCell ref="K4:Q10"/>
    <mergeCell ref="G11:H11"/>
    <mergeCell ref="O19:O20"/>
    <mergeCell ref="P19:P20"/>
    <mergeCell ref="M19:M21"/>
    <mergeCell ref="N19:N21"/>
  </mergeCells>
  <pageMargins left="0.7" right="0.7" top="0.75" bottom="0.75" header="0.3" footer="0.3"/>
  <pageSetup paperSize="17" scale="60" orientation="landscape" r:id="rId1"/>
  <headerFooter>
    <oddHeader>&amp;F</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24"/>
  <sheetViews>
    <sheetView workbookViewId="0">
      <selection activeCell="M20" sqref="M20"/>
    </sheetView>
  </sheetViews>
  <sheetFormatPr defaultRowHeight="14.4" x14ac:dyDescent="0.3"/>
  <cols>
    <col min="2" max="2" width="14.109375" customWidth="1"/>
    <col min="3" max="3" width="12.33203125" customWidth="1"/>
    <col min="4" max="4" width="13.6640625" customWidth="1"/>
    <col min="6" max="6" width="20.109375" customWidth="1"/>
    <col min="7" max="7" width="12.44140625" customWidth="1"/>
    <col min="8" max="8" width="13" customWidth="1"/>
    <col min="9" max="9" width="13.88671875" customWidth="1"/>
    <col min="10" max="10" width="9.109375" customWidth="1"/>
  </cols>
  <sheetData>
    <row r="3" spans="1:17" x14ac:dyDescent="0.3">
      <c r="A3" s="28" t="s">
        <v>65</v>
      </c>
    </row>
    <row r="5" spans="1:17" x14ac:dyDescent="0.3">
      <c r="C5" s="29"/>
      <c r="D5" s="29"/>
      <c r="E5" s="28"/>
      <c r="F5" s="30"/>
      <c r="G5" s="30"/>
      <c r="H5" s="27"/>
      <c r="I5" s="27"/>
      <c r="J5" s="27"/>
      <c r="K5" s="52" t="s">
        <v>69</v>
      </c>
      <c r="L5" s="42" t="s">
        <v>3</v>
      </c>
      <c r="M5" s="53" t="s">
        <v>8</v>
      </c>
      <c r="N5" s="2" t="s">
        <v>71</v>
      </c>
      <c r="O5" s="28" t="s">
        <v>72</v>
      </c>
      <c r="P5" t="s">
        <v>73</v>
      </c>
    </row>
    <row r="6" spans="1:17" x14ac:dyDescent="0.3">
      <c r="B6" s="28"/>
      <c r="C6">
        <f>ATAN((0.62-0.373)/(2*2.202))</f>
        <v>5.6026680852734372E-2</v>
      </c>
      <c r="D6" s="29" t="s">
        <v>68</v>
      </c>
      <c r="E6" s="29" t="s">
        <v>67</v>
      </c>
      <c r="F6" s="30"/>
      <c r="G6" s="30"/>
      <c r="H6" s="27"/>
      <c r="I6" s="27"/>
      <c r="J6" s="27"/>
      <c r="K6" s="31"/>
      <c r="L6" s="32">
        <f>(41.832-1.359)*TAN(C6)</f>
        <v>2.2699434604904631</v>
      </c>
      <c r="M6" s="51">
        <f>L6*0.0254</f>
        <v>5.7656563896457763E-2</v>
      </c>
      <c r="N6" s="2"/>
      <c r="O6" s="25"/>
    </row>
    <row r="7" spans="1:17" x14ac:dyDescent="0.3">
      <c r="B7" s="28"/>
      <c r="C7">
        <f>ATAN((0.5-0.373)/(2*11.762))</f>
        <v>5.3986892601938473E-3</v>
      </c>
      <c r="D7" s="29" t="s">
        <v>68</v>
      </c>
      <c r="E7" s="29" t="s">
        <v>66</v>
      </c>
      <c r="F7" s="30"/>
      <c r="G7" s="30"/>
      <c r="H7" s="27"/>
      <c r="I7" s="27"/>
      <c r="J7" s="27"/>
      <c r="K7" s="31"/>
      <c r="L7" s="32">
        <f>(41.832-1.359)*TAN(C7)</f>
        <v>0.21850327325284813</v>
      </c>
      <c r="M7" s="51">
        <f>L7*0.0254</f>
        <v>5.5499831406223424E-3</v>
      </c>
      <c r="N7" s="2">
        <f>(0.5-0.373)/2</f>
        <v>6.3500000000000001E-2</v>
      </c>
      <c r="O7" s="25">
        <v>12.552</v>
      </c>
      <c r="P7">
        <f>ACOS(1-N7/O7)</f>
        <v>0.10063027393261281</v>
      </c>
      <c r="Q7">
        <f>DEGREES(P7)</f>
        <v>5.765689987584059</v>
      </c>
    </row>
    <row r="9" spans="1:17" x14ac:dyDescent="0.3">
      <c r="E9" t="s">
        <v>71</v>
      </c>
      <c r="F9" t="s">
        <v>72</v>
      </c>
    </row>
    <row r="10" spans="1:17" x14ac:dyDescent="0.3">
      <c r="C10" t="s">
        <v>75</v>
      </c>
      <c r="D10" t="s">
        <v>76</v>
      </c>
      <c r="E10" t="s">
        <v>77</v>
      </c>
      <c r="F10" t="s">
        <v>78</v>
      </c>
      <c r="G10" t="s">
        <v>79</v>
      </c>
      <c r="H10" t="s">
        <v>81</v>
      </c>
      <c r="I10" t="s">
        <v>80</v>
      </c>
    </row>
    <row r="11" spans="1:17" x14ac:dyDescent="0.3">
      <c r="B11" t="s">
        <v>74</v>
      </c>
      <c r="C11">
        <v>0.373</v>
      </c>
      <c r="D11">
        <v>0.62</v>
      </c>
      <c r="E11">
        <f>(D11-C11)/2</f>
        <v>0.1235</v>
      </c>
      <c r="F11">
        <v>2.202</v>
      </c>
      <c r="G11">
        <f>ATAN(E11/F11)</f>
        <v>5.6026680852734372E-2</v>
      </c>
      <c r="H11">
        <f>DEGREES(G11)</f>
        <v>3.2100923529880996</v>
      </c>
      <c r="I11">
        <f>40.5*G11</f>
        <v>2.2690805745357419</v>
      </c>
    </row>
    <row r="12" spans="1:17" x14ac:dyDescent="0.3">
      <c r="B12" t="s">
        <v>82</v>
      </c>
      <c r="C12">
        <v>0.373</v>
      </c>
      <c r="D12">
        <v>0.5</v>
      </c>
      <c r="E12">
        <f>(D12-C12)/2</f>
        <v>6.3500000000000001E-2</v>
      </c>
      <c r="F12">
        <v>12.576000000000001</v>
      </c>
      <c r="G12">
        <f>ATAN(E12/F12)</f>
        <v>5.0492573437437953E-3</v>
      </c>
      <c r="H12">
        <f>DEGREES(G12)</f>
        <v>0.28930113547195624</v>
      </c>
      <c r="I12">
        <f>40.5*G12</f>
        <v>0.2044949224216237</v>
      </c>
    </row>
    <row r="17" spans="2:5" x14ac:dyDescent="0.3">
      <c r="B17" t="s">
        <v>83</v>
      </c>
    </row>
    <row r="18" spans="2:5" x14ac:dyDescent="0.3">
      <c r="B18">
        <v>1</v>
      </c>
      <c r="C18" t="s">
        <v>3</v>
      </c>
      <c r="D18" t="s">
        <v>84</v>
      </c>
      <c r="E18" t="s">
        <v>92</v>
      </c>
    </row>
    <row r="19" spans="2:5" x14ac:dyDescent="0.3">
      <c r="B19">
        <f>E12</f>
        <v>6.3500000000000001E-2</v>
      </c>
      <c r="C19" t="s">
        <v>3</v>
      </c>
      <c r="D19" t="s">
        <v>71</v>
      </c>
      <c r="E19" t="s">
        <v>85</v>
      </c>
    </row>
    <row r="20" spans="2:5" x14ac:dyDescent="0.3">
      <c r="B20">
        <f>F12</f>
        <v>12.576000000000001</v>
      </c>
      <c r="C20" t="s">
        <v>3</v>
      </c>
      <c r="D20" t="s">
        <v>72</v>
      </c>
      <c r="E20" t="s">
        <v>86</v>
      </c>
    </row>
    <row r="21" spans="2:5" x14ac:dyDescent="0.3">
      <c r="B21">
        <f>ASIN(B18/B20)</f>
        <v>7.960057435474914E-2</v>
      </c>
      <c r="C21" t="s">
        <v>68</v>
      </c>
      <c r="D21" t="s">
        <v>87</v>
      </c>
      <c r="E21" t="s">
        <v>88</v>
      </c>
    </row>
    <row r="22" spans="2:5" x14ac:dyDescent="0.3">
      <c r="B22">
        <f>DEGREES(B21)</f>
        <v>4.5607769573444221</v>
      </c>
      <c r="C22" t="s">
        <v>91</v>
      </c>
      <c r="D22" t="s">
        <v>87</v>
      </c>
    </row>
    <row r="23" spans="2:5" x14ac:dyDescent="0.3">
      <c r="B23">
        <f>ACOS((SQRT(B20^2-B18^2)-B19)/B20)-B21</f>
        <v>4.8672789749942894E-2</v>
      </c>
      <c r="C23" t="s">
        <v>68</v>
      </c>
      <c r="D23" t="s">
        <v>89</v>
      </c>
      <c r="E23" t="s">
        <v>90</v>
      </c>
    </row>
    <row r="24" spans="2:5" x14ac:dyDescent="0.3">
      <c r="B24">
        <f>DEGREES(B23)</f>
        <v>2.7887454297993415</v>
      </c>
      <c r="C24" t="s">
        <v>91</v>
      </c>
      <c r="D24" t="s">
        <v>89</v>
      </c>
      <c r="E24" t="s">
        <v>93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Z38" sqref="Z38"/>
    </sheetView>
  </sheetViews>
  <sheetFormatPr defaultRowHeight="14.4" x14ac:dyDescent="0.3"/>
  <sheetData/>
  <pageMargins left="0.7" right="0.7" top="0.75" bottom="0.75" header="0.3" footer="0.3"/>
  <pageSetup scale="4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8" workbookViewId="0">
      <selection activeCell="S41" sqref="S41"/>
    </sheetView>
  </sheetViews>
  <sheetFormatPr defaultRowHeight="14.4" x14ac:dyDescent="0.3"/>
  <sheetData/>
  <pageMargins left="0.7" right="0.7" top="0.75" bottom="0.75" header="0.3" footer="0.3"/>
  <pageSetup scale="5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5" workbookViewId="0">
      <selection activeCell="Q20" sqref="Q20"/>
    </sheetView>
  </sheetViews>
  <sheetFormatPr defaultRowHeight="14.4" x14ac:dyDescent="0.3"/>
  <sheetData/>
  <pageMargins left="0.7" right="0.7" top="0.75" bottom="0.75" header="0.3" footer="0.3"/>
  <pageSetup scale="6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flexure stress summary</vt:lpstr>
      <vt:lpstr>stress conc factors</vt:lpstr>
      <vt:lpstr>tension stress conc compare</vt:lpstr>
      <vt:lpstr>bending stress conc compare</vt:lpstr>
      <vt:lpstr>old summary</vt:lpstr>
      <vt:lpstr>ACB physical limiters</vt:lpstr>
      <vt:lpstr>baseline (wire)</vt:lpstr>
      <vt:lpstr>0.10" dia 72lb</vt:lpstr>
      <vt:lpstr>0.10" dia 20 lb</vt:lpstr>
      <vt:lpstr>0.15" dia 153 lb</vt:lpstr>
      <vt:lpstr>'old summary'!Print_Area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Coyne</dc:creator>
  <cp:lastModifiedBy>coyne</cp:lastModifiedBy>
  <cp:lastPrinted>2013-01-15T03:14:17Z</cp:lastPrinted>
  <dcterms:created xsi:type="dcterms:W3CDTF">2010-09-14T17:12:54Z</dcterms:created>
  <dcterms:modified xsi:type="dcterms:W3CDTF">2013-01-15T03:23:21Z</dcterms:modified>
</cp:coreProperties>
</file>