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\Documents\Protel\EtherCAT\EtherCATCornerFour\Project Outputs for EtherCATCornerD\"/>
    </mc:Choice>
  </mc:AlternateContent>
  <xr:revisionPtr revIDLastSave="0" documentId="8_{28EEFB60-C632-4B76-8960-630FAE733BB0}" xr6:coauthVersionLast="47" xr6:coauthVersionMax="47" xr10:uidLastSave="{00000000-0000-0000-0000-000000000000}"/>
  <bookViews>
    <workbookView xWindow="3930" yWindow="860" windowWidth="28490" windowHeight="1989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3" l="1"/>
  <c r="L28" i="3" s="1"/>
  <c r="M28" i="3" s="1"/>
  <c r="J28" i="3"/>
  <c r="K27" i="3"/>
  <c r="J27" i="3"/>
  <c r="L27" i="3" s="1"/>
  <c r="M27" i="3" s="1"/>
  <c r="K26" i="3"/>
  <c r="J26" i="3"/>
  <c r="K25" i="3"/>
  <c r="J25" i="3"/>
  <c r="K24" i="3"/>
  <c r="L24" i="3" s="1"/>
  <c r="M24" i="3" s="1"/>
  <c r="J24" i="3"/>
  <c r="K23" i="3"/>
  <c r="J23" i="3"/>
  <c r="K22" i="3"/>
  <c r="J22" i="3"/>
  <c r="K21" i="3"/>
  <c r="J21" i="3"/>
  <c r="K20" i="3"/>
  <c r="L20" i="3" s="1"/>
  <c r="M20" i="3" s="1"/>
  <c r="J20" i="3"/>
  <c r="K19" i="3"/>
  <c r="J19" i="3"/>
  <c r="K18" i="3"/>
  <c r="J18" i="3"/>
  <c r="K17" i="3"/>
  <c r="J17" i="3"/>
  <c r="K16" i="3"/>
  <c r="L16" i="3" s="1"/>
  <c r="M16" i="3" s="1"/>
  <c r="J16" i="3"/>
  <c r="K15" i="3"/>
  <c r="J15" i="3"/>
  <c r="K14" i="3"/>
  <c r="J14" i="3"/>
  <c r="K13" i="3"/>
  <c r="J13" i="3"/>
  <c r="K12" i="3"/>
  <c r="L12" i="3" s="1"/>
  <c r="M12" i="3" s="1"/>
  <c r="J12" i="3"/>
  <c r="L14" i="3" l="1"/>
  <c r="M14" i="3" s="1"/>
  <c r="L22" i="3"/>
  <c r="M22" i="3" s="1"/>
  <c r="L18" i="3"/>
  <c r="M18" i="3" s="1"/>
  <c r="L17" i="3"/>
  <c r="M17" i="3" s="1"/>
  <c r="L21" i="3"/>
  <c r="M21" i="3" s="1"/>
  <c r="L25" i="3"/>
  <c r="M25" i="3" s="1"/>
  <c r="L13" i="3"/>
  <c r="M13" i="3" s="1"/>
  <c r="L26" i="3"/>
  <c r="M26" i="3" s="1"/>
  <c r="L19" i="3"/>
  <c r="M19" i="3" s="1"/>
  <c r="L23" i="3"/>
  <c r="M23" i="3" s="1"/>
  <c r="L15" i="3"/>
  <c r="M15" i="3" s="1"/>
  <c r="J11" i="3"/>
  <c r="K11" i="3"/>
  <c r="K10" i="3"/>
  <c r="J10" i="3"/>
  <c r="E39" i="3"/>
  <c r="E38" i="3"/>
  <c r="E37" i="3"/>
  <c r="E36" i="3"/>
  <c r="E35" i="3"/>
  <c r="E34" i="3"/>
  <c r="B29" i="3"/>
  <c r="D8" i="3"/>
  <c r="E8" i="3"/>
  <c r="L10" i="3" l="1"/>
  <c r="L11" i="3"/>
  <c r="M11" i="3" s="1"/>
  <c r="M10" i="3"/>
</calcChain>
</file>

<file path=xl/sharedStrings.xml><?xml version="1.0" encoding="utf-8"?>
<sst xmlns="http://schemas.openxmlformats.org/spreadsheetml/2006/main" count="168" uniqueCount="103">
  <si>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</si>
  <si>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</si>
  <si>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</si>
  <si>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</si>
  <si>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</si>
  <si>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</si>
  <si>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</si>
  <si>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</si>
  <si>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</si>
  <si>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</si>
  <si>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</si>
  <si>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</si>
  <si>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</si>
  <si>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</si>
  <si>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</si>
  <si>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</si>
  <si>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</si>
  <si>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</si>
  <si>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</si>
  <si>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</si>
  <si>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D1101266</t>
  </si>
  <si>
    <t>4</t>
  </si>
  <si>
    <t>EtherCATCornerD.PrjPCB</t>
  </si>
  <si>
    <t>2</t>
  </si>
  <si>
    <t>Daniel Sigg</t>
  </si>
  <si>
    <t>8/7/2024</t>
  </si>
  <si>
    <t>8:27 AM</t>
  </si>
  <si>
    <t>Quantity</t>
  </si>
  <si>
    <t>Distributor</t>
  </si>
  <si>
    <t>Beckhoff</t>
  </si>
  <si>
    <t>Newark</t>
  </si>
  <si>
    <t>McMaster-Carr</t>
  </si>
  <si>
    <t>LIGO</t>
  </si>
  <si>
    <t>Digi-Key</t>
  </si>
  <si>
    <t>Part Number</t>
  </si>
  <si>
    <t>EK1101</t>
  </si>
  <si>
    <t>EL3104</t>
  </si>
  <si>
    <t>EL9410</t>
  </si>
  <si>
    <t>EL9011</t>
  </si>
  <si>
    <t>EK1100</t>
  </si>
  <si>
    <t>27C5226</t>
  </si>
  <si>
    <t>EL9190</t>
  </si>
  <si>
    <t>EL1124</t>
  </si>
  <si>
    <t>91099A205</t>
  </si>
  <si>
    <t>D0902552-v3</t>
  </si>
  <si>
    <t>D1102435-v1</t>
  </si>
  <si>
    <t>D2400266-v1</t>
  </si>
  <si>
    <t>D0902557-v1</t>
  </si>
  <si>
    <t>21M5658</t>
  </si>
  <si>
    <t>D0902569-v1</t>
  </si>
  <si>
    <t>D1100108-v1</t>
  </si>
  <si>
    <t>277-1483-ND</t>
  </si>
  <si>
    <t>277-1495-ND</t>
  </si>
  <si>
    <t>277-1494-ND</t>
  </si>
  <si>
    <t>Comment</t>
  </si>
  <si>
    <t>EtherCAT coupler w/ ID switch</t>
  </si>
  <si>
    <t>4-channel analog input terminals, differential, 16 bits</t>
  </si>
  <si>
    <t>Power supply terminals for E-bus, diagnostics</t>
  </si>
  <si>
    <t>End cap</t>
  </si>
  <si>
    <t>Beckhoff EtherCAT coupler</t>
  </si>
  <si>
    <t>5V/0.6A isolated DC-DC converter, Omron S82S-7305</t>
  </si>
  <si>
    <t>Feed terminal, arbitrary voltage</t>
  </si>
  <si>
    <t>4-channel digital input terminals, 5V</t>
  </si>
  <si>
    <t>#6-32 1/4" flat</t>
  </si>
  <si>
    <t>EtherCAT chassis</t>
  </si>
  <si>
    <t>Name Plate</t>
  </si>
  <si>
    <t>Rear Panel</t>
  </si>
  <si>
    <t>Adapter panel</t>
  </si>
  <si>
    <t>Ethernet patch cable, 1'</t>
  </si>
  <si>
    <t>DB37M adapter</t>
  </si>
  <si>
    <t>Terminal Block</t>
  </si>
  <si>
    <t>End Plate</t>
  </si>
  <si>
    <t>Jumper, 10pos</t>
  </si>
  <si>
    <t>Description</t>
  </si>
  <si>
    <t>Beckhoff EtherCAT coupler w/ ID switch</t>
  </si>
  <si>
    <t>#6-32 1/4" flat head screw</t>
  </si>
  <si>
    <t>Additional part number</t>
  </si>
  <si>
    <t>Demod A</t>
  </si>
  <si>
    <t>Blank</t>
  </si>
  <si>
    <t>Designator</t>
  </si>
  <si>
    <t>B1</t>
  </si>
  <si>
    <t>B2, B3, B4, B5, B7, B8, B9, B10, B12, B13, B14, B15, B17, B18, B19, B20, B23, B24, B25, B26, B28, B29, B30, B31, B33, B34, B35, B36, B38, B39, B40, B41, B45, B46, B47, B48, B50, B51, B52, B53, B55, B56</t>
  </si>
  <si>
    <t>B6, B11, B16, B27, B32, B37, B49</t>
  </si>
  <si>
    <t>B21, B42, B58</t>
  </si>
  <si>
    <t>B22, B44</t>
  </si>
  <si>
    <t>B43</t>
  </si>
  <si>
    <t>B54</t>
  </si>
  <si>
    <t>B57</t>
  </si>
  <si>
    <t>E1, E2, E3, E4, E5, E6, E7, E8, E9, E10, E11, E12, E13, E14, E15, E16, E17, E18, E19, E20, E21, E22</t>
  </si>
  <si>
    <t>PN1</t>
  </si>
  <si>
    <t>PN2</t>
  </si>
  <si>
    <t>PN3</t>
  </si>
  <si>
    <t>PN4</t>
  </si>
  <si>
    <t>PN5, PN6, PN8, PN9</t>
  </si>
  <si>
    <t>PN7, PN10, PN12, PN14, PN15, PN16, PN17, PN18, PN32, PN39, PN47</t>
  </si>
  <si>
    <t>PN11, PN13</t>
  </si>
  <si>
    <t>PN19, PN20, PN21, PN22, PN23, PN25, PN26, PN27, PN28, PN29, PN33, PN34, PN35, PN36, PN37, PN40, PN41, PN42, PN43, PN44</t>
  </si>
  <si>
    <t>PN24, PN38</t>
  </si>
  <si>
    <t>PN30, PN31, PN45, PN46</t>
  </si>
  <si>
    <t>Footprint</t>
  </si>
  <si>
    <t/>
  </si>
  <si>
    <t>Assembly Type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</si>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</sst>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29" totalsRowShown="0" headerRowDxfId="17" dataDxfId="15" headerRowBorderDxfId="16" tableBorderDxfId="14">
  <autoFilter ref="B9:M29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9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56" t="s">
        <v>20</v>
      </c>
      <c r="H2" s="22" t="s">
        <v>12</v>
      </c>
      <c r="I2" s="57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8" t="s">
        <v>22</v>
      </c>
      <c r="E4" s="8"/>
      <c r="F4" s="6"/>
      <c r="G4" s="49" t="s">
        <v>15</v>
      </c>
      <c r="H4" s="50"/>
      <c r="I4" s="59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60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61" t="s">
        <v>25</v>
      </c>
      <c r="E7" s="61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45511</v>
      </c>
      <c r="E8" s="51">
        <f ca="1">NOW()</f>
        <v>45511.35270520833</v>
      </c>
      <c r="F8" s="52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34</v>
      </c>
      <c r="E9" s="39" t="s">
        <v>54</v>
      </c>
      <c r="F9" s="39" t="s">
        <v>73</v>
      </c>
      <c r="G9" s="40" t="s">
        <v>79</v>
      </c>
      <c r="H9" s="39" t="s">
        <v>99</v>
      </c>
      <c r="I9" s="39" t="s">
        <v>101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20.5" x14ac:dyDescent="0.25">
      <c r="A10" s="13"/>
      <c r="B10" s="45">
        <v>1</v>
      </c>
      <c r="C10" s="46" t="s">
        <v>29</v>
      </c>
      <c r="D10" s="46" t="s">
        <v>35</v>
      </c>
      <c r="E10" s="46" t="s">
        <v>55</v>
      </c>
      <c r="F10" s="46" t="s">
        <v>74</v>
      </c>
      <c r="G10" s="46" t="s">
        <v>80</v>
      </c>
      <c r="H10" s="46" t="s">
        <v>100</v>
      </c>
      <c r="I10" s="46" t="s">
        <v>102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7</v>
      </c>
    </row>
    <row r="11" spans="1:13" s="2" customFormat="1" ht="40.5" x14ac:dyDescent="0.25">
      <c r="A11" s="13"/>
      <c r="B11" s="45">
        <v>42</v>
      </c>
      <c r="C11" s="46" t="s">
        <v>29</v>
      </c>
      <c r="D11" s="46" t="s">
        <v>36</v>
      </c>
      <c r="E11" s="46" t="s">
        <v>56</v>
      </c>
      <c r="F11" s="46" t="s">
        <v>56</v>
      </c>
      <c r="G11" s="46" t="s">
        <v>81</v>
      </c>
      <c r="H11" s="46" t="s">
        <v>100</v>
      </c>
      <c r="I11" s="46" t="s">
        <v>102</v>
      </c>
      <c r="J11" s="48">
        <f t="shared" ref="J11:J28" si="0">+IF(OR(I11="BGA",I11="FP",I11="TH"),1,IF($I$4*B11&lt;100,5,0))</f>
        <v>5</v>
      </c>
      <c r="K11" s="47">
        <f t="shared" ref="K11:K28" si="1">+IF(AND(I11="",$I$4*B11&gt;100),0.05,0)</f>
        <v>0</v>
      </c>
      <c r="L11" s="48">
        <f t="shared" ref="L11:L28" si="2">+ROUNDUP($I$4*B11*K11+J11,0)</f>
        <v>5</v>
      </c>
      <c r="M11" s="41">
        <f t="shared" ref="M11:M28" si="3">+IF(OR(LEFT(G11&amp;"",1)="C",LEFT(G11&amp;"",1)="R"),ROUNDUP($I$4*B11+L11,-1),$I$4*B11+L11)</f>
        <v>89</v>
      </c>
    </row>
    <row r="12" spans="1:13" s="2" customFormat="1" ht="20.5" x14ac:dyDescent="0.25">
      <c r="A12" s="13"/>
      <c r="B12" s="45">
        <v>7</v>
      </c>
      <c r="C12" s="46" t="s">
        <v>29</v>
      </c>
      <c r="D12" s="46" t="s">
        <v>37</v>
      </c>
      <c r="E12" s="46" t="s">
        <v>57</v>
      </c>
      <c r="F12" s="46" t="s">
        <v>57</v>
      </c>
      <c r="G12" s="46" t="s">
        <v>82</v>
      </c>
      <c r="H12" s="46" t="s">
        <v>100</v>
      </c>
      <c r="I12" s="46" t="s">
        <v>102</v>
      </c>
      <c r="J12" s="48">
        <f>+IF(OR(I12="BGA",I12="FP",I12="TH"),1,IF($I$4*B12&lt;100,5,0))</f>
        <v>5</v>
      </c>
      <c r="K12" s="47">
        <f>+IF(AND(I12="",$I$4*B12&gt;100),0.05,0)</f>
        <v>0</v>
      </c>
      <c r="L12" s="48">
        <f>+ROUNDUP($I$4*B12*K12+J12,0)</f>
        <v>5</v>
      </c>
      <c r="M12" s="41">
        <f>+IF(OR(LEFT(G12&amp;"",1)="C",LEFT(G12&amp;"",1)="R"),ROUNDUP($I$4*B12+L12,-1),$I$4*B12+L12)</f>
        <v>19</v>
      </c>
    </row>
    <row r="13" spans="1:13" s="2" customFormat="1" ht="13" x14ac:dyDescent="0.25">
      <c r="A13" s="13"/>
      <c r="B13" s="45">
        <v>3</v>
      </c>
      <c r="C13" s="46" t="s">
        <v>29</v>
      </c>
      <c r="D13" s="46" t="s">
        <v>38</v>
      </c>
      <c r="E13" s="46" t="s">
        <v>58</v>
      </c>
      <c r="F13" s="46" t="s">
        <v>58</v>
      </c>
      <c r="G13" s="46" t="s">
        <v>83</v>
      </c>
      <c r="H13" s="46" t="s">
        <v>100</v>
      </c>
      <c r="I13" s="46" t="s">
        <v>102</v>
      </c>
      <c r="J13" s="48">
        <f t="shared" ref="J13" si="4">+IF(OR(I13="BGA",I13="FP",I13="TH"),1,IF($I$4*B13&lt;100,5,0))</f>
        <v>5</v>
      </c>
      <c r="K13" s="47">
        <f t="shared" ref="K13" si="5">+IF(AND(I13="",$I$4*B13&gt;100),0.05,0)</f>
        <v>0</v>
      </c>
      <c r="L13" s="48">
        <f t="shared" ref="L13" si="6">+ROUNDUP($I$4*B13*K13+J13,0)</f>
        <v>5</v>
      </c>
      <c r="M13" s="41">
        <f t="shared" ref="M13" si="7">+IF(OR(LEFT(G13&amp;"",1)="C",LEFT(G13&amp;"",1)="R"),ROUNDUP($I$4*B13+L13,-1),$I$4*B13+L13)</f>
        <v>11</v>
      </c>
    </row>
    <row r="14" spans="1:13" s="2" customFormat="1" ht="20.5" x14ac:dyDescent="0.25">
      <c r="A14" s="13"/>
      <c r="B14" s="45">
        <v>2</v>
      </c>
      <c r="C14" s="46" t="s">
        <v>29</v>
      </c>
      <c r="D14" s="46" t="s">
        <v>39</v>
      </c>
      <c r="E14" s="46" t="s">
        <v>59</v>
      </c>
      <c r="F14" s="46" t="s">
        <v>59</v>
      </c>
      <c r="G14" s="46" t="s">
        <v>84</v>
      </c>
      <c r="H14" s="46" t="s">
        <v>100</v>
      </c>
      <c r="I14" s="46" t="s">
        <v>102</v>
      </c>
      <c r="J14" s="48">
        <f>+IF(OR(I14="BGA",I14="FP",I14="TH"),1,IF($I$4*B14&lt;100,5,0))</f>
        <v>5</v>
      </c>
      <c r="K14" s="47">
        <f>+IF(AND(I14="",$I$4*B14&gt;100),0.05,0)</f>
        <v>0</v>
      </c>
      <c r="L14" s="48">
        <f>+ROUNDUP($I$4*B14*K14+J14,0)</f>
        <v>5</v>
      </c>
      <c r="M14" s="41">
        <f>+IF(OR(LEFT(G14&amp;"",1)="C",LEFT(G14&amp;"",1)="R"),ROUNDUP($I$4*B14+L14,-1),$I$4*B14+L14)</f>
        <v>9</v>
      </c>
    </row>
    <row r="15" spans="1:13" s="2" customFormat="1" ht="30.5" x14ac:dyDescent="0.25">
      <c r="A15" s="13"/>
      <c r="B15" s="45">
        <v>1</v>
      </c>
      <c r="C15" s="46" t="s">
        <v>30</v>
      </c>
      <c r="D15" s="46" t="s">
        <v>40</v>
      </c>
      <c r="E15" s="46" t="s">
        <v>60</v>
      </c>
      <c r="F15" s="46" t="s">
        <v>60</v>
      </c>
      <c r="G15" s="46" t="s">
        <v>85</v>
      </c>
      <c r="H15" s="46" t="s">
        <v>100</v>
      </c>
      <c r="I15" s="46" t="s">
        <v>102</v>
      </c>
      <c r="J15" s="48">
        <f t="shared" ref="J15:J17" si="8">+IF(OR(I15="BGA",I15="FP",I15="TH"),1,IF($I$4*B15&lt;100,5,0))</f>
        <v>5</v>
      </c>
      <c r="K15" s="47">
        <f t="shared" ref="K15:K17" si="9">+IF(AND(I15="",$I$4*B15&gt;100),0.05,0)</f>
        <v>0</v>
      </c>
      <c r="L15" s="48">
        <f t="shared" ref="L15:L17" si="10">+ROUNDUP($I$4*B15*K15+J15,0)</f>
        <v>5</v>
      </c>
      <c r="M15" s="41">
        <f t="shared" ref="M15:M17" si="11">+IF(OR(LEFT(G15&amp;"",1)="C",LEFT(G15&amp;"",1)="R"),ROUNDUP($I$4*B15+L15,-1),$I$4*B15+L15)</f>
        <v>7</v>
      </c>
    </row>
    <row r="16" spans="1:13" s="2" customFormat="1" ht="20.5" x14ac:dyDescent="0.25">
      <c r="A16" s="13"/>
      <c r="B16" s="45">
        <v>1</v>
      </c>
      <c r="C16" s="46" t="s">
        <v>29</v>
      </c>
      <c r="D16" s="46" t="s">
        <v>41</v>
      </c>
      <c r="E16" s="46" t="s">
        <v>61</v>
      </c>
      <c r="F16" s="46" t="s">
        <v>61</v>
      </c>
      <c r="G16" s="46" t="s">
        <v>86</v>
      </c>
      <c r="H16" s="46" t="s">
        <v>100</v>
      </c>
      <c r="I16" s="46" t="s">
        <v>102</v>
      </c>
      <c r="J16" s="48">
        <f>+IF(OR(I16="BGA",I16="FP",I16="TH"),1,IF($I$4*B16&lt;100,5,0))</f>
        <v>5</v>
      </c>
      <c r="K16" s="47">
        <f>+IF(AND(I16="",$I$4*B16&gt;100),0.05,0)</f>
        <v>0</v>
      </c>
      <c r="L16" s="48">
        <f>+ROUNDUP($I$4*B16*K16+J16,0)</f>
        <v>5</v>
      </c>
      <c r="M16" s="41">
        <f>+IF(OR(LEFT(G16&amp;"",1)="C",LEFT(G16&amp;"",1)="R"),ROUNDUP($I$4*B16+L16,-1),$I$4*B16+L16)</f>
        <v>7</v>
      </c>
    </row>
    <row r="17" spans="1:13" s="2" customFormat="1" ht="20.5" x14ac:dyDescent="0.25">
      <c r="A17" s="13"/>
      <c r="B17" s="45">
        <v>1</v>
      </c>
      <c r="C17" s="46" t="s">
        <v>29</v>
      </c>
      <c r="D17" s="46" t="s">
        <v>42</v>
      </c>
      <c r="E17" s="46" t="s">
        <v>62</v>
      </c>
      <c r="F17" s="46" t="s">
        <v>62</v>
      </c>
      <c r="G17" s="46" t="s">
        <v>87</v>
      </c>
      <c r="H17" s="46" t="s">
        <v>100</v>
      </c>
      <c r="I17" s="46" t="s">
        <v>102</v>
      </c>
      <c r="J17" s="48">
        <f t="shared" ref="J17" si="12">+IF(OR(I17="BGA",I17="FP",I17="TH"),1,IF($I$4*B17&lt;100,5,0))</f>
        <v>5</v>
      </c>
      <c r="K17" s="47">
        <f t="shared" ref="K17" si="13">+IF(AND(I17="",$I$4*B17&gt;100),0.05,0)</f>
        <v>0</v>
      </c>
      <c r="L17" s="48">
        <f t="shared" ref="L17" si="14">+ROUNDUP($I$4*B17*K17+J17,0)</f>
        <v>5</v>
      </c>
      <c r="M17" s="41">
        <f t="shared" ref="M17" si="15">+IF(OR(LEFT(G17&amp;"",1)="C",LEFT(G17&amp;"",1)="R"),ROUNDUP($I$4*B17+L17,-1),$I$4*B17+L17)</f>
        <v>7</v>
      </c>
    </row>
    <row r="18" spans="1:13" s="2" customFormat="1" ht="20.5" x14ac:dyDescent="0.25">
      <c r="A18" s="13"/>
      <c r="B18" s="45">
        <v>22</v>
      </c>
      <c r="C18" s="46" t="s">
        <v>31</v>
      </c>
      <c r="D18" s="46" t="s">
        <v>43</v>
      </c>
      <c r="E18" s="46" t="s">
        <v>63</v>
      </c>
      <c r="F18" s="46" t="s">
        <v>75</v>
      </c>
      <c r="G18" s="46" t="s">
        <v>88</v>
      </c>
      <c r="H18" s="46" t="s">
        <v>100</v>
      </c>
      <c r="I18" s="46" t="s">
        <v>102</v>
      </c>
      <c r="J18" s="48">
        <f>+IF(OR(I18="BGA",I18="FP",I18="TH"),1,IF($I$4*B18&lt;100,5,0))</f>
        <v>5</v>
      </c>
      <c r="K18" s="47">
        <f>+IF(AND(I18="",$I$4*B18&gt;100),0.05,0)</f>
        <v>0</v>
      </c>
      <c r="L18" s="48">
        <f>+ROUNDUP($I$4*B18*K18+J18,0)</f>
        <v>5</v>
      </c>
      <c r="M18" s="41">
        <f>+IF(OR(LEFT(G18&amp;"",1)="C",LEFT(G18&amp;"",1)="R"),ROUNDUP($I$4*B18+L18,-1),$I$4*B18+L18)</f>
        <v>49</v>
      </c>
    </row>
    <row r="19" spans="1:13" s="2" customFormat="1" ht="13" x14ac:dyDescent="0.25">
      <c r="A19" s="13"/>
      <c r="B19" s="45">
        <v>1</v>
      </c>
      <c r="C19" s="46" t="s">
        <v>32</v>
      </c>
      <c r="D19" s="46" t="s">
        <v>44</v>
      </c>
      <c r="E19" s="46" t="s">
        <v>64</v>
      </c>
      <c r="F19" s="46" t="s">
        <v>76</v>
      </c>
      <c r="G19" s="46" t="s">
        <v>89</v>
      </c>
      <c r="H19" s="46" t="s">
        <v>100</v>
      </c>
      <c r="I19" s="46" t="s">
        <v>102</v>
      </c>
      <c r="J19" s="48">
        <f t="shared" ref="J19:J25" si="16">+IF(OR(I19="BGA",I19="FP",I19="TH"),1,IF($I$4*B19&lt;100,5,0))</f>
        <v>5</v>
      </c>
      <c r="K19" s="47">
        <f t="shared" ref="K19:K25" si="17">+IF(AND(I19="",$I$4*B19&gt;100),0.05,0)</f>
        <v>0</v>
      </c>
      <c r="L19" s="48">
        <f t="shared" ref="L19:L25" si="18">+ROUNDUP($I$4*B19*K19+J19,0)</f>
        <v>5</v>
      </c>
      <c r="M19" s="41">
        <f t="shared" ref="M19:M25" si="19">+IF(OR(LEFT(G19&amp;"",1)="C",LEFT(G19&amp;"",1)="R"),ROUNDUP($I$4*B19+L19,-1),$I$4*B19+L19)</f>
        <v>7</v>
      </c>
    </row>
    <row r="20" spans="1:13" s="2" customFormat="1" ht="13" x14ac:dyDescent="0.25">
      <c r="A20" s="13"/>
      <c r="B20" s="45">
        <v>1</v>
      </c>
      <c r="C20" s="46" t="s">
        <v>32</v>
      </c>
      <c r="D20" s="46" t="s">
        <v>45</v>
      </c>
      <c r="E20" s="46" t="s">
        <v>65</v>
      </c>
      <c r="F20" s="46" t="s">
        <v>76</v>
      </c>
      <c r="G20" s="46" t="s">
        <v>90</v>
      </c>
      <c r="H20" s="46" t="s">
        <v>100</v>
      </c>
      <c r="I20" s="46" t="s">
        <v>102</v>
      </c>
      <c r="J20" s="48">
        <f>+IF(OR(I20="BGA",I20="FP",I20="TH"),1,IF($I$4*B20&lt;100,5,0))</f>
        <v>5</v>
      </c>
      <c r="K20" s="47">
        <f>+IF(AND(I20="",$I$4*B20&gt;100),0.05,0)</f>
        <v>0</v>
      </c>
      <c r="L20" s="48">
        <f>+ROUNDUP($I$4*B20*K20+J20,0)</f>
        <v>5</v>
      </c>
      <c r="M20" s="41">
        <f>+IF(OR(LEFT(G20&amp;"",1)="C",LEFT(G20&amp;"",1)="R"),ROUNDUP($I$4*B20+L20,-1),$I$4*B20+L20)</f>
        <v>7</v>
      </c>
    </row>
    <row r="21" spans="1:13" s="2" customFormat="1" ht="13" x14ac:dyDescent="0.25">
      <c r="A21" s="13"/>
      <c r="B21" s="45">
        <v>1</v>
      </c>
      <c r="C21" s="46" t="s">
        <v>32</v>
      </c>
      <c r="D21" s="46" t="s">
        <v>46</v>
      </c>
      <c r="E21" s="46" t="s">
        <v>66</v>
      </c>
      <c r="F21" s="46" t="s">
        <v>76</v>
      </c>
      <c r="G21" s="46" t="s">
        <v>91</v>
      </c>
      <c r="H21" s="46" t="s">
        <v>100</v>
      </c>
      <c r="I21" s="46" t="s">
        <v>102</v>
      </c>
      <c r="J21" s="48">
        <f t="shared" ref="J21" si="20">+IF(OR(I21="BGA",I21="FP",I21="TH"),1,IF($I$4*B21&lt;100,5,0))</f>
        <v>5</v>
      </c>
      <c r="K21" s="47">
        <f t="shared" ref="K21" si="21">+IF(AND(I21="",$I$4*B21&gt;100),0.05,0)</f>
        <v>0</v>
      </c>
      <c r="L21" s="48">
        <f t="shared" ref="L21" si="22">+ROUNDUP($I$4*B21*K21+J21,0)</f>
        <v>5</v>
      </c>
      <c r="M21" s="41">
        <f t="shared" ref="M21" si="23">+IF(OR(LEFT(G21&amp;"",1)="C",LEFT(G21&amp;"",1)="R"),ROUNDUP($I$4*B21+L21,-1),$I$4*B21+L21)</f>
        <v>7</v>
      </c>
    </row>
    <row r="22" spans="1:13" s="2" customFormat="1" ht="13" x14ac:dyDescent="0.25">
      <c r="A22" s="13"/>
      <c r="B22" s="45">
        <v>1</v>
      </c>
      <c r="C22" s="46" t="s">
        <v>32</v>
      </c>
      <c r="D22" s="46" t="s">
        <v>47</v>
      </c>
      <c r="E22" s="46" t="s">
        <v>67</v>
      </c>
      <c r="F22" s="46" t="s">
        <v>77</v>
      </c>
      <c r="G22" s="46" t="s">
        <v>92</v>
      </c>
      <c r="H22" s="46" t="s">
        <v>100</v>
      </c>
      <c r="I22" s="46" t="s">
        <v>102</v>
      </c>
      <c r="J22" s="48">
        <f>+IF(OR(I22="BGA",I22="FP",I22="TH"),1,IF($I$4*B22&lt;100,5,0))</f>
        <v>5</v>
      </c>
      <c r="K22" s="47">
        <f>+IF(AND(I22="",$I$4*B22&gt;100),0.05,0)</f>
        <v>0</v>
      </c>
      <c r="L22" s="48">
        <f>+ROUNDUP($I$4*B22*K22+J22,0)</f>
        <v>5</v>
      </c>
      <c r="M22" s="41">
        <f>+IF(OR(LEFT(G22&amp;"",1)="C",LEFT(G22&amp;"",1)="R"),ROUNDUP($I$4*B22+L22,-1),$I$4*B22+L22)</f>
        <v>7</v>
      </c>
    </row>
    <row r="23" spans="1:13" s="2" customFormat="1" ht="13" x14ac:dyDescent="0.25">
      <c r="A23" s="13"/>
      <c r="B23" s="45">
        <v>4</v>
      </c>
      <c r="C23" s="46" t="s">
        <v>30</v>
      </c>
      <c r="D23" s="46" t="s">
        <v>48</v>
      </c>
      <c r="E23" s="46" t="s">
        <v>68</v>
      </c>
      <c r="F23" s="46" t="s">
        <v>76</v>
      </c>
      <c r="G23" s="46" t="s">
        <v>93</v>
      </c>
      <c r="H23" s="46" t="s">
        <v>100</v>
      </c>
      <c r="I23" s="46" t="s">
        <v>102</v>
      </c>
      <c r="J23" s="48">
        <f t="shared" ref="J23:J25" si="24">+IF(OR(I23="BGA",I23="FP",I23="TH"),1,IF($I$4*B23&lt;100,5,0))</f>
        <v>5</v>
      </c>
      <c r="K23" s="47">
        <f t="shared" ref="K23:K25" si="25">+IF(AND(I23="",$I$4*B23&gt;100),0.05,0)</f>
        <v>0</v>
      </c>
      <c r="L23" s="48">
        <f t="shared" ref="L23:L25" si="26">+ROUNDUP($I$4*B23*K23+J23,0)</f>
        <v>5</v>
      </c>
      <c r="M23" s="41">
        <f t="shared" ref="M23:M25" si="27">+IF(OR(LEFT(G23&amp;"",1)="C",LEFT(G23&amp;"",1)="R"),ROUNDUP($I$4*B23+L23,-1),$I$4*B23+L23)</f>
        <v>13</v>
      </c>
    </row>
    <row r="24" spans="1:13" s="2" customFormat="1" ht="20.5" x14ac:dyDescent="0.25">
      <c r="A24" s="13"/>
      <c r="B24" s="45">
        <v>11</v>
      </c>
      <c r="C24" s="46" t="s">
        <v>32</v>
      </c>
      <c r="D24" s="46" t="s">
        <v>49</v>
      </c>
      <c r="E24" s="46" t="s">
        <v>69</v>
      </c>
      <c r="F24" s="46" t="s">
        <v>76</v>
      </c>
      <c r="G24" s="46" t="s">
        <v>94</v>
      </c>
      <c r="H24" s="46" t="s">
        <v>100</v>
      </c>
      <c r="I24" s="46" t="s">
        <v>102</v>
      </c>
      <c r="J24" s="48">
        <f>+IF(OR(I24="BGA",I24="FP",I24="TH"),1,IF($I$4*B24&lt;100,5,0))</f>
        <v>5</v>
      </c>
      <c r="K24" s="47">
        <f>+IF(AND(I24="",$I$4*B24&gt;100),0.05,0)</f>
        <v>0</v>
      </c>
      <c r="L24" s="48">
        <f>+ROUNDUP($I$4*B24*K24+J24,0)</f>
        <v>5</v>
      </c>
      <c r="M24" s="41">
        <f>+IF(OR(LEFT(G24&amp;"",1)="C",LEFT(G24&amp;"",1)="R"),ROUNDUP($I$4*B24+L24,-1),$I$4*B24+L24)</f>
        <v>27</v>
      </c>
    </row>
    <row r="25" spans="1:13" s="2" customFormat="1" ht="13" x14ac:dyDescent="0.25">
      <c r="A25" s="13"/>
      <c r="B25" s="45">
        <v>2</v>
      </c>
      <c r="C25" s="46" t="s">
        <v>32</v>
      </c>
      <c r="D25" s="46" t="s">
        <v>50</v>
      </c>
      <c r="E25" s="46" t="s">
        <v>67</v>
      </c>
      <c r="F25" s="46" t="s">
        <v>78</v>
      </c>
      <c r="G25" s="46" t="s">
        <v>95</v>
      </c>
      <c r="H25" s="46" t="s">
        <v>100</v>
      </c>
      <c r="I25" s="46" t="s">
        <v>102</v>
      </c>
      <c r="J25" s="48">
        <f t="shared" ref="J25" si="28">+IF(OR(I25="BGA",I25="FP",I25="TH"),1,IF($I$4*B25&lt;100,5,0))</f>
        <v>5</v>
      </c>
      <c r="K25" s="47">
        <f t="shared" ref="K25" si="29">+IF(AND(I25="",$I$4*B25&gt;100),0.05,0)</f>
        <v>0</v>
      </c>
      <c r="L25" s="48">
        <f t="shared" ref="L25" si="30">+ROUNDUP($I$4*B25*K25+J25,0)</f>
        <v>5</v>
      </c>
      <c r="M25" s="41">
        <f t="shared" ref="M25" si="31">+IF(OR(LEFT(G25&amp;"",1)="C",LEFT(G25&amp;"",1)="R"),ROUNDUP($I$4*B25+L25,-1),$I$4*B25+L25)</f>
        <v>9</v>
      </c>
    </row>
    <row r="26" spans="1:13" s="2" customFormat="1" ht="30.5" x14ac:dyDescent="0.25">
      <c r="A26" s="13"/>
      <c r="B26" s="45">
        <v>20</v>
      </c>
      <c r="C26" s="46" t="s">
        <v>33</v>
      </c>
      <c r="D26" s="46" t="s">
        <v>51</v>
      </c>
      <c r="E26" s="46" t="s">
        <v>70</v>
      </c>
      <c r="F26" s="46" t="s">
        <v>70</v>
      </c>
      <c r="G26" s="46" t="s">
        <v>96</v>
      </c>
      <c r="H26" s="46" t="s">
        <v>100</v>
      </c>
      <c r="I26" s="46" t="s">
        <v>102</v>
      </c>
      <c r="J26" s="48">
        <f>+IF(OR(I26="BGA",I26="FP",I26="TH"),1,IF($I$4*B26&lt;100,5,0))</f>
        <v>5</v>
      </c>
      <c r="K26" s="47">
        <f>+IF(AND(I26="",$I$4*B26&gt;100),0.05,0)</f>
        <v>0</v>
      </c>
      <c r="L26" s="48">
        <f>+ROUNDUP($I$4*B26*K26+J26,0)</f>
        <v>5</v>
      </c>
      <c r="M26" s="41">
        <f>+IF(OR(LEFT(G26&amp;"",1)="C",LEFT(G26&amp;"",1)="R"),ROUNDUP($I$4*B26+L26,-1),$I$4*B26+L26)</f>
        <v>45</v>
      </c>
    </row>
    <row r="27" spans="1:13" s="2" customFormat="1" ht="13" x14ac:dyDescent="0.25">
      <c r="A27" s="13"/>
      <c r="B27" s="45">
        <v>2</v>
      </c>
      <c r="C27" s="46" t="s">
        <v>33</v>
      </c>
      <c r="D27" s="46" t="s">
        <v>52</v>
      </c>
      <c r="E27" s="46" t="s">
        <v>71</v>
      </c>
      <c r="F27" s="46" t="s">
        <v>71</v>
      </c>
      <c r="G27" s="46" t="s">
        <v>97</v>
      </c>
      <c r="H27" s="46" t="s">
        <v>100</v>
      </c>
      <c r="I27" s="46" t="s">
        <v>102</v>
      </c>
      <c r="J27" s="48">
        <f t="shared" ref="J27:J28" si="32">+IF(OR(I27="BGA",I27="FP",I27="TH"),1,IF($I$4*B27&lt;100,5,0))</f>
        <v>5</v>
      </c>
      <c r="K27" s="47">
        <f t="shared" ref="K27:K28" si="33">+IF(AND(I27="",$I$4*B27&gt;100),0.05,0)</f>
        <v>0</v>
      </c>
      <c r="L27" s="48">
        <f t="shared" ref="L27:L28" si="34">+ROUNDUP($I$4*B27*K27+J27,0)</f>
        <v>5</v>
      </c>
      <c r="M27" s="41">
        <f t="shared" ref="M27:M28" si="35">+IF(OR(LEFT(G27&amp;"",1)="C",LEFT(G27&amp;"",1)="R"),ROUNDUP($I$4*B27+L27,-1),$I$4*B27+L27)</f>
        <v>9</v>
      </c>
    </row>
    <row r="28" spans="1:13" x14ac:dyDescent="0.25">
      <c r="A28" s="13"/>
      <c r="B28" s="45">
        <v>4</v>
      </c>
      <c r="C28" s="46" t="s">
        <v>33</v>
      </c>
      <c r="D28" s="46" t="s">
        <v>53</v>
      </c>
      <c r="E28" s="46" t="s">
        <v>72</v>
      </c>
      <c r="F28" s="46" t="s">
        <v>72</v>
      </c>
      <c r="G28" s="46" t="s">
        <v>98</v>
      </c>
      <c r="H28" s="46" t="s">
        <v>100</v>
      </c>
      <c r="I28" s="46" t="s">
        <v>102</v>
      </c>
      <c r="J28" s="48">
        <f>+IF(OR(I28="BGA",I28="FP",I28="TH"),1,IF($I$4*B28&lt;100,5,0))</f>
        <v>5</v>
      </c>
      <c r="K28" s="47">
        <f>+IF(AND(I28="",$I$4*B28&gt;100),0.05,0)</f>
        <v>0</v>
      </c>
      <c r="L28" s="48">
        <f>+ROUNDUP($I$4*B28*K28+J28,0)</f>
        <v>5</v>
      </c>
      <c r="M28" s="41">
        <f>+IF(OR(LEFT(G28&amp;"",1)="C",LEFT(G28&amp;"",1)="R"),ROUNDUP($I$4*B28+L28,-1),$I$4*B28+L28)</f>
        <v>13</v>
      </c>
    </row>
    <row r="29" spans="1:13" x14ac:dyDescent="0.25">
      <c r="A29" s="14"/>
      <c r="B29" s="42">
        <f>SUM(B10:B28)</f>
        <v>127</v>
      </c>
      <c r="C29" s="43" t="s">
        <v>9</v>
      </c>
      <c r="D29" s="43"/>
      <c r="E29" s="43"/>
      <c r="F29" s="43"/>
      <c r="G29" s="44"/>
      <c r="H29" s="44"/>
      <c r="I29" s="43"/>
      <c r="J29" s="44"/>
      <c r="K29" s="44"/>
      <c r="L29" s="44"/>
      <c r="M29" s="44"/>
    </row>
    <row r="30" spans="1:13" x14ac:dyDescent="0.25">
      <c r="B30" s="1"/>
      <c r="C30" s="1"/>
    </row>
    <row r="31" spans="1:13" x14ac:dyDescent="0.25">
      <c r="B31" s="1"/>
      <c r="C31" s="1"/>
    </row>
    <row r="32" spans="1:13" x14ac:dyDescent="0.25">
      <c r="B32" s="1"/>
      <c r="C32" s="1"/>
    </row>
    <row r="33" spans="2:7" ht="17.5" x14ac:dyDescent="0.25">
      <c r="B33" s="1"/>
      <c r="C33" s="53" t="s">
        <v>8</v>
      </c>
      <c r="D33" s="54"/>
      <c r="E33" s="55"/>
      <c r="F33" s="20"/>
      <c r="G33" s="21"/>
    </row>
    <row r="34" spans="2:7" x14ac:dyDescent="0.25">
      <c r="C34" s="33" t="s">
        <v>3</v>
      </c>
      <c r="D34" s="34"/>
      <c r="E34" s="35">
        <f>COUNT(B10:B28)</f>
        <v>19</v>
      </c>
    </row>
    <row r="35" spans="2:7" x14ac:dyDescent="0.25">
      <c r="C35" s="16" t="s">
        <v>4</v>
      </c>
      <c r="D35" s="30"/>
      <c r="E35" s="28">
        <f>SUMIF($I$10:$I$28, "", $B$10:$B$28)</f>
        <v>0</v>
      </c>
    </row>
    <row r="36" spans="2:7" x14ac:dyDescent="0.25">
      <c r="C36" s="33" t="s">
        <v>5</v>
      </c>
      <c r="D36" s="34"/>
      <c r="E36" s="36">
        <f>SUMIF($I$10:$I$28, "TH", $B$10:$B$28)</f>
        <v>0</v>
      </c>
    </row>
    <row r="37" spans="2:7" x14ac:dyDescent="0.25">
      <c r="C37" s="16" t="s">
        <v>6</v>
      </c>
      <c r="D37" s="30"/>
      <c r="E37" s="28">
        <f>SUMIF($I$10:$I$28, "FP", $B$10:$B$28)</f>
        <v>0</v>
      </c>
    </row>
    <row r="38" spans="2:7" x14ac:dyDescent="0.25">
      <c r="C38" s="33" t="s">
        <v>7</v>
      </c>
      <c r="D38" s="34"/>
      <c r="E38" s="36">
        <f>SUMIF($I$10:$I$28, "BGA", $B$10:$B$28)</f>
        <v>0</v>
      </c>
    </row>
    <row r="39" spans="2:7" x14ac:dyDescent="0.25">
      <c r="C39" s="27" t="s">
        <v>16</v>
      </c>
      <c r="D39" s="31"/>
      <c r="E39" s="29">
        <f>SUMIF($I$10:$I$28, "M", $B$10:$B$28)</f>
        <v>127</v>
      </c>
    </row>
  </sheetData>
  <mergeCells count="3">
    <mergeCell ref="G4:H4"/>
    <mergeCell ref="E8:F8"/>
    <mergeCell ref="C33:E33"/>
  </mergeCells>
  <phoneticPr fontId="0" type="noConversion"/>
  <conditionalFormatting sqref="B10:L28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2024-08-07T15:27:54Z</dcterms:modified>
</cp:coreProperties>
</file>