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6" windowWidth="13260" windowHeight="5976"/>
  </bookViews>
  <sheets>
    <sheet name="SLC 6in no wedge summary" sheetId="7" r:id="rId1"/>
    <sheet name="SLC 6in no wedge #2-253 WHAT IF" sheetId="12" r:id="rId2"/>
    <sheet name="SLC - 6in no wedge #2-253" sheetId="9" r:id="rId3"/>
    <sheet name="SLC - 6in no wedge #2-254" sheetId="4" r:id="rId4"/>
    <sheet name="SLC - 6in no wedge #2-355" sheetId="10" r:id="rId5"/>
    <sheet name="SLC - 6in no wedge #2-356" sheetId="8" r:id="rId6"/>
    <sheet name="SLC - 6in no wedge #2-357" sheetId="5" r:id="rId7"/>
    <sheet name="SLC - 6in no wedge #2-432" sheetId="11" r:id="rId8"/>
    <sheet name="SLC - 6in no wedge #2-433" sheetId="6" r:id="rId9"/>
    <sheet name="volume considerations" sheetId="13" r:id="rId10"/>
    <sheet name="thread engagement" sheetId="14" r:id="rId11"/>
  </sheets>
  <definedNames>
    <definedName name="_xlnm.Print_Area" localSheetId="0">'SLC 6in no wedge summary'!$A$1:$R$20</definedName>
    <definedName name="solver_adj" localSheetId="9" hidden="1">'volume considerations'!$A$29</definedName>
    <definedName name="solver_cvg" localSheetId="9" hidden="1">0.0001</definedName>
    <definedName name="solver_drv" localSheetId="9" hidden="1">2</definedName>
    <definedName name="solver_eng" localSheetId="9" hidden="1">1</definedName>
    <definedName name="solver_est" localSheetId="9" hidden="1">1</definedName>
    <definedName name="solver_itr" localSheetId="9" hidden="1">2147483647</definedName>
    <definedName name="solver_lhs1" localSheetId="9" hidden="1">'volume considerations'!$A$29</definedName>
    <definedName name="solver_lhs2" localSheetId="9" hidden="1">'volume considerations'!$A$29</definedName>
    <definedName name="solver_mip" localSheetId="9" hidden="1">2147483647</definedName>
    <definedName name="solver_mni" localSheetId="9" hidden="1">30</definedName>
    <definedName name="solver_mrt" localSheetId="9" hidden="1">0.075</definedName>
    <definedName name="solver_msl" localSheetId="9" hidden="1">2</definedName>
    <definedName name="solver_neg" localSheetId="9" hidden="1">1</definedName>
    <definedName name="solver_nod" localSheetId="9" hidden="1">2147483647</definedName>
    <definedName name="solver_num" localSheetId="9" hidden="1">2</definedName>
    <definedName name="solver_nwt" localSheetId="9" hidden="1">1</definedName>
    <definedName name="solver_opt" localSheetId="9" hidden="1">'volume considerations'!$J$29</definedName>
    <definedName name="solver_pre" localSheetId="9" hidden="1">0.000001</definedName>
    <definedName name="solver_rbv" localSheetId="9" hidden="1">2</definedName>
    <definedName name="solver_rel1" localSheetId="9" hidden="1">1</definedName>
    <definedName name="solver_rel2" localSheetId="9" hidden="1">3</definedName>
    <definedName name="solver_rhs1" localSheetId="9" hidden="1">'volume considerations'!$A$15</definedName>
    <definedName name="solver_rhs2" localSheetId="9" hidden="1">0</definedName>
    <definedName name="solver_rlx" localSheetId="9" hidden="1">2</definedName>
    <definedName name="solver_rsd" localSheetId="9" hidden="1">0</definedName>
    <definedName name="solver_scl" localSheetId="9" hidden="1">2</definedName>
    <definedName name="solver_sho" localSheetId="9" hidden="1">2</definedName>
    <definedName name="solver_ssz" localSheetId="9" hidden="1">100</definedName>
    <definedName name="solver_tim" localSheetId="9" hidden="1">2147483647</definedName>
    <definedName name="solver_tol" localSheetId="9" hidden="1">0.01</definedName>
    <definedName name="solver_typ" localSheetId="9" hidden="1">3</definedName>
    <definedName name="solver_val" localSheetId="9" hidden="1">0</definedName>
    <definedName name="solver_ver" localSheetId="9" hidden="1">3</definedName>
  </definedNames>
  <calcPr calcId="144525"/>
</workbook>
</file>

<file path=xl/calcChain.xml><?xml version="1.0" encoding="utf-8"?>
<calcChain xmlns="http://schemas.openxmlformats.org/spreadsheetml/2006/main">
  <c r="A95" i="9" l="1"/>
  <c r="I56" i="9" l="1"/>
  <c r="I55" i="9"/>
  <c r="H73" i="9"/>
  <c r="H38" i="9"/>
  <c r="H37" i="9"/>
  <c r="G106" i="9" l="1"/>
  <c r="G107" i="9"/>
  <c r="A109" i="9"/>
  <c r="A41" i="9"/>
  <c r="K34" i="9"/>
  <c r="K35" i="9"/>
  <c r="K36" i="9"/>
  <c r="L49" i="9"/>
  <c r="L50" i="9"/>
  <c r="K50" i="9"/>
  <c r="K49" i="9"/>
  <c r="K47" i="9"/>
  <c r="I33" i="9" l="1"/>
  <c r="A21" i="14"/>
  <c r="A20" i="14"/>
  <c r="A19" i="14"/>
  <c r="A18" i="14"/>
  <c r="A17" i="14"/>
  <c r="A16" i="14"/>
  <c r="A13" i="14"/>
  <c r="A12" i="14"/>
  <c r="A10" i="14"/>
  <c r="A8" i="14"/>
  <c r="A6" i="14"/>
  <c r="A40" i="13" l="1"/>
  <c r="A28" i="13"/>
  <c r="A23" i="13" l="1"/>
  <c r="A16" i="13" l="1"/>
  <c r="A15" i="13"/>
  <c r="A13" i="13"/>
  <c r="A20" i="13" s="1"/>
  <c r="A12" i="13"/>
  <c r="J29" i="13" s="1"/>
  <c r="A11" i="13"/>
  <c r="A17" i="13"/>
  <c r="A42" i="4"/>
  <c r="A30" i="13" l="1"/>
  <c r="A25" i="13"/>
  <c r="A19" i="13"/>
  <c r="A18" i="13"/>
  <c r="J24" i="13"/>
  <c r="A47" i="9"/>
  <c r="A37" i="13" l="1"/>
  <c r="I51" i="9"/>
  <c r="J158" i="9"/>
  <c r="A44" i="9"/>
  <c r="A46" i="9" s="1"/>
  <c r="P9" i="7" s="1"/>
  <c r="D42" i="9"/>
  <c r="D30" i="9"/>
  <c r="D29" i="9"/>
  <c r="H35" i="9"/>
  <c r="H34" i="9"/>
  <c r="D47" i="9"/>
  <c r="D45" i="9"/>
  <c r="H31" i="9"/>
  <c r="H32" i="9" s="1"/>
  <c r="H30" i="9"/>
  <c r="H33" i="9" s="1"/>
  <c r="J165" i="9"/>
  <c r="J164" i="9"/>
  <c r="J163" i="9"/>
  <c r="H162" i="9"/>
  <c r="H159" i="9"/>
  <c r="H160" i="9" s="1"/>
  <c r="J138" i="12"/>
  <c r="I138" i="12"/>
  <c r="H138" i="12"/>
  <c r="A109" i="12"/>
  <c r="A110" i="12" s="1"/>
  <c r="D110" i="12" s="1"/>
  <c r="A107" i="12"/>
  <c r="A106" i="12"/>
  <c r="A104" i="12"/>
  <c r="A97" i="12"/>
  <c r="A96" i="12"/>
  <c r="A93" i="12"/>
  <c r="A90" i="12"/>
  <c r="A82" i="12"/>
  <c r="A80" i="12"/>
  <c r="B69" i="12"/>
  <c r="B68" i="12"/>
  <c r="B66" i="12"/>
  <c r="B65" i="12"/>
  <c r="B64" i="12"/>
  <c r="B63" i="12"/>
  <c r="V61" i="12"/>
  <c r="W61" i="12" s="1"/>
  <c r="W60" i="12"/>
  <c r="V60" i="12"/>
  <c r="V59" i="12"/>
  <c r="W59" i="12" s="1"/>
  <c r="A58" i="12"/>
  <c r="A57" i="12"/>
  <c r="A56" i="12"/>
  <c r="J53" i="12"/>
  <c r="J51" i="12"/>
  <c r="J52" i="12" s="1"/>
  <c r="I50" i="12"/>
  <c r="J49" i="12" s="1"/>
  <c r="H50" i="12"/>
  <c r="AC45" i="12"/>
  <c r="Z45" i="12"/>
  <c r="A42" i="12"/>
  <c r="A22" i="12" s="1"/>
  <c r="H40" i="12"/>
  <c r="B36" i="12"/>
  <c r="B37" i="12" s="1"/>
  <c r="A31" i="12"/>
  <c r="A23" i="12"/>
  <c r="A19" i="12"/>
  <c r="A76" i="12" s="1"/>
  <c r="A17" i="12"/>
  <c r="A16" i="12"/>
  <c r="A13" i="12"/>
  <c r="A112" i="12" s="1"/>
  <c r="A11" i="12"/>
  <c r="A105" i="12" s="1"/>
  <c r="A108" i="12" s="1"/>
  <c r="AC10" i="12"/>
  <c r="A36" i="12" s="1"/>
  <c r="A37" i="12" s="1"/>
  <c r="Z10" i="12"/>
  <c r="B7" i="12"/>
  <c r="A7" i="12"/>
  <c r="B23" i="7"/>
  <c r="C23" i="7" s="1"/>
  <c r="C24" i="7"/>
  <c r="B25" i="7"/>
  <c r="C25" i="7" s="1"/>
  <c r="D25" i="7" s="1"/>
  <c r="N14" i="7"/>
  <c r="M14" i="7"/>
  <c r="N16" i="7"/>
  <c r="M16" i="7"/>
  <c r="A35" i="6"/>
  <c r="A34" i="6"/>
  <c r="T63" i="6"/>
  <c r="W63" i="6" s="1"/>
  <c r="T62" i="6"/>
  <c r="W62" i="6" s="1"/>
  <c r="V61" i="6"/>
  <c r="W61" i="6" s="1"/>
  <c r="V60" i="6"/>
  <c r="W60" i="6" s="1"/>
  <c r="V59" i="6"/>
  <c r="W59" i="6" s="1"/>
  <c r="N15" i="7"/>
  <c r="M15" i="7"/>
  <c r="A35" i="11"/>
  <c r="A34" i="11"/>
  <c r="W63" i="11"/>
  <c r="T63" i="11"/>
  <c r="T62" i="11"/>
  <c r="W62" i="11" s="1"/>
  <c r="V61" i="11"/>
  <c r="W61" i="11" s="1"/>
  <c r="W60" i="11"/>
  <c r="V60" i="11"/>
  <c r="V59" i="11"/>
  <c r="W59" i="11" s="1"/>
  <c r="N13" i="7"/>
  <c r="N12" i="7"/>
  <c r="M13" i="7"/>
  <c r="M12" i="7"/>
  <c r="N11" i="7"/>
  <c r="M11" i="7"/>
  <c r="A35" i="10"/>
  <c r="A34" i="10"/>
  <c r="W63" i="10"/>
  <c r="T63" i="10"/>
  <c r="T62" i="10"/>
  <c r="W62" i="10" s="1"/>
  <c r="W61" i="10"/>
  <c r="V61" i="10"/>
  <c r="W60" i="10"/>
  <c r="V60" i="10"/>
  <c r="V59" i="10"/>
  <c r="W59" i="10" s="1"/>
  <c r="N10" i="7"/>
  <c r="M10" i="7"/>
  <c r="W63" i="4"/>
  <c r="T63" i="4"/>
  <c r="W62" i="4"/>
  <c r="T62" i="4"/>
  <c r="W61" i="4"/>
  <c r="V61" i="4"/>
  <c r="W60" i="4"/>
  <c r="V60" i="4"/>
  <c r="W59" i="4"/>
  <c r="V59" i="4"/>
  <c r="A35" i="4"/>
  <c r="A34" i="4"/>
  <c r="V61" i="9"/>
  <c r="W61" i="9" s="1"/>
  <c r="V60" i="9"/>
  <c r="W60" i="9" s="1"/>
  <c r="V59" i="9"/>
  <c r="W59" i="9" s="1"/>
  <c r="P15" i="7"/>
  <c r="H138" i="11"/>
  <c r="J138" i="11" s="1"/>
  <c r="A107" i="11"/>
  <c r="A106" i="11"/>
  <c r="A105" i="11"/>
  <c r="A104" i="11"/>
  <c r="A109" i="11" s="1"/>
  <c r="A110" i="11" s="1"/>
  <c r="A96" i="11"/>
  <c r="A93" i="11"/>
  <c r="A97" i="11" s="1"/>
  <c r="A90" i="11"/>
  <c r="A82" i="11"/>
  <c r="A80" i="11"/>
  <c r="B69" i="11"/>
  <c r="B68" i="11"/>
  <c r="B66" i="11"/>
  <c r="B65" i="11"/>
  <c r="B64" i="11"/>
  <c r="B63" i="11"/>
  <c r="A56" i="11"/>
  <c r="A58" i="11" s="1"/>
  <c r="I52" i="11"/>
  <c r="H50" i="11"/>
  <c r="I50" i="11" s="1"/>
  <c r="J49" i="11" s="1"/>
  <c r="A42" i="11"/>
  <c r="A44" i="11" s="1"/>
  <c r="H40" i="11"/>
  <c r="A31" i="11"/>
  <c r="A25" i="11"/>
  <c r="A23" i="11"/>
  <c r="A19" i="11"/>
  <c r="A76" i="11" s="1"/>
  <c r="A17" i="11"/>
  <c r="A16" i="11"/>
  <c r="A13" i="11"/>
  <c r="A11" i="11"/>
  <c r="AC10" i="11"/>
  <c r="A36" i="11" s="1"/>
  <c r="A37" i="11" s="1"/>
  <c r="Z10" i="11"/>
  <c r="B36" i="11" s="1"/>
  <c r="B37" i="11" s="1"/>
  <c r="B7" i="11"/>
  <c r="A7" i="11"/>
  <c r="P11" i="7"/>
  <c r="H138" i="10"/>
  <c r="I138" i="10" s="1"/>
  <c r="A118" i="10"/>
  <c r="A109" i="10"/>
  <c r="A108" i="10"/>
  <c r="A106" i="10"/>
  <c r="A111" i="10" s="1"/>
  <c r="A112" i="10" s="1"/>
  <c r="A96" i="10"/>
  <c r="A93" i="10"/>
  <c r="A97" i="10" s="1"/>
  <c r="A90" i="10"/>
  <c r="A82" i="10"/>
  <c r="A80" i="10"/>
  <c r="A75" i="10"/>
  <c r="A72" i="10" s="1"/>
  <c r="C72" i="10" s="1"/>
  <c r="B69" i="10"/>
  <c r="B68" i="10"/>
  <c r="B66" i="10"/>
  <c r="B65" i="10"/>
  <c r="B64" i="10"/>
  <c r="B63" i="10"/>
  <c r="A58" i="10"/>
  <c r="A57" i="10"/>
  <c r="A56" i="10"/>
  <c r="A42" i="10"/>
  <c r="A22" i="10" s="1"/>
  <c r="A31" i="10"/>
  <c r="A25" i="10"/>
  <c r="A76" i="10" s="1"/>
  <c r="A23" i="10"/>
  <c r="A19" i="10"/>
  <c r="A74" i="10" s="1"/>
  <c r="A17" i="10"/>
  <c r="A16" i="10"/>
  <c r="A13" i="10"/>
  <c r="A11" i="10"/>
  <c r="A107" i="10" s="1"/>
  <c r="AC10" i="10"/>
  <c r="B36" i="10" s="1"/>
  <c r="B37" i="10" s="1"/>
  <c r="Z10" i="10"/>
  <c r="B7" i="10"/>
  <c r="A7" i="10"/>
  <c r="O8" i="7"/>
  <c r="Q8" i="7" s="1"/>
  <c r="O15" i="7"/>
  <c r="Q15" i="7" s="1"/>
  <c r="O14" i="7"/>
  <c r="Q14" i="7" s="1"/>
  <c r="O11" i="7"/>
  <c r="Q11" i="7" s="1"/>
  <c r="Q16" i="7"/>
  <c r="P16" i="7"/>
  <c r="O16" i="7"/>
  <c r="A22" i="6"/>
  <c r="B7" i="6"/>
  <c r="A7" i="6"/>
  <c r="Q13" i="7"/>
  <c r="P13" i="7"/>
  <c r="O13" i="7"/>
  <c r="B7" i="5"/>
  <c r="A7" i="5"/>
  <c r="Q12" i="7"/>
  <c r="P12" i="7"/>
  <c r="O12" i="7"/>
  <c r="A22" i="8"/>
  <c r="A22" i="4"/>
  <c r="Q10" i="7" s="1"/>
  <c r="H140" i="9"/>
  <c r="I140" i="9" s="1"/>
  <c r="A108" i="9"/>
  <c r="A111" i="9"/>
  <c r="A112" i="9" s="1"/>
  <c r="D112" i="9" s="1"/>
  <c r="A92" i="9"/>
  <c r="A84" i="9"/>
  <c r="A82" i="9"/>
  <c r="B71" i="9"/>
  <c r="B70" i="9"/>
  <c r="B68" i="9"/>
  <c r="B67" i="9"/>
  <c r="B66" i="9"/>
  <c r="B65" i="9"/>
  <c r="A58" i="9"/>
  <c r="A59" i="9" s="1"/>
  <c r="AC45" i="9"/>
  <c r="Z45" i="9"/>
  <c r="H42" i="9"/>
  <c r="A31" i="9"/>
  <c r="D31" i="9" s="1"/>
  <c r="A25" i="9"/>
  <c r="A23" i="9"/>
  <c r="A19" i="9"/>
  <c r="A17" i="9"/>
  <c r="A13" i="9"/>
  <c r="A11" i="9"/>
  <c r="A107" i="9" s="1"/>
  <c r="AC10" i="9"/>
  <c r="Z10" i="9"/>
  <c r="B7" i="9"/>
  <c r="A7" i="9"/>
  <c r="B7" i="8"/>
  <c r="A7" i="8"/>
  <c r="H138" i="8"/>
  <c r="I138" i="8" s="1"/>
  <c r="A118" i="8"/>
  <c r="A109" i="8"/>
  <c r="A108" i="8"/>
  <c r="A106" i="8"/>
  <c r="A111" i="8" s="1"/>
  <c r="A112" i="8" s="1"/>
  <c r="A96" i="8"/>
  <c r="A93" i="8"/>
  <c r="A90" i="8"/>
  <c r="A82" i="8"/>
  <c r="A80" i="8"/>
  <c r="B69" i="8"/>
  <c r="B68" i="8"/>
  <c r="B66" i="8"/>
  <c r="B65" i="8"/>
  <c r="B64" i="8"/>
  <c r="B63" i="8"/>
  <c r="A56" i="8"/>
  <c r="A57" i="8" s="1"/>
  <c r="A42" i="8"/>
  <c r="A44" i="8" s="1"/>
  <c r="A31" i="8"/>
  <c r="A25" i="8"/>
  <c r="A23" i="8"/>
  <c r="A19" i="8"/>
  <c r="A17" i="8"/>
  <c r="A16" i="8"/>
  <c r="A13" i="8"/>
  <c r="AC10" i="8"/>
  <c r="Z10" i="8"/>
  <c r="A11" i="8"/>
  <c r="A107" i="8" s="1"/>
  <c r="B7" i="4"/>
  <c r="A7" i="4"/>
  <c r="A118" i="5"/>
  <c r="I52" i="6"/>
  <c r="H40" i="6"/>
  <c r="AC10" i="6"/>
  <c r="AC10" i="5"/>
  <c r="Z10" i="6"/>
  <c r="H138" i="6"/>
  <c r="J138" i="6" s="1"/>
  <c r="A107" i="6"/>
  <c r="A106" i="6"/>
  <c r="A104" i="6"/>
  <c r="A109" i="6" s="1"/>
  <c r="A110" i="6" s="1"/>
  <c r="D110" i="6" s="1"/>
  <c r="A96" i="6"/>
  <c r="A93" i="6"/>
  <c r="A97" i="6" s="1"/>
  <c r="A90" i="6"/>
  <c r="A82" i="6"/>
  <c r="A80" i="6"/>
  <c r="B69" i="6"/>
  <c r="B68" i="6"/>
  <c r="B66" i="6"/>
  <c r="B65" i="6"/>
  <c r="B64" i="6"/>
  <c r="B63" i="6"/>
  <c r="A58" i="6"/>
  <c r="A56" i="6"/>
  <c r="A57" i="6" s="1"/>
  <c r="H50" i="6"/>
  <c r="I50" i="6" s="1"/>
  <c r="J49" i="6" s="1"/>
  <c r="A42" i="6"/>
  <c r="A44" i="6" s="1"/>
  <c r="A31" i="6"/>
  <c r="A25" i="6"/>
  <c r="A23" i="6"/>
  <c r="A19" i="6"/>
  <c r="A17" i="6"/>
  <c r="A16" i="6"/>
  <c r="A13" i="6"/>
  <c r="A11" i="6"/>
  <c r="A105" i="6" s="1"/>
  <c r="H40" i="4"/>
  <c r="Z10" i="5"/>
  <c r="A31" i="5"/>
  <c r="H138" i="5"/>
  <c r="J138" i="5" s="1"/>
  <c r="A109" i="5"/>
  <c r="A108" i="5"/>
  <c r="A106" i="5"/>
  <c r="A111" i="5" s="1"/>
  <c r="A112" i="5" s="1"/>
  <c r="A96" i="5"/>
  <c r="A93" i="5"/>
  <c r="A90" i="5"/>
  <c r="A82" i="5"/>
  <c r="A80" i="5"/>
  <c r="B69" i="5"/>
  <c r="B68" i="5"/>
  <c r="B66" i="5"/>
  <c r="B65" i="5"/>
  <c r="B64" i="5"/>
  <c r="B63" i="5"/>
  <c r="A56" i="5"/>
  <c r="A58" i="5" s="1"/>
  <c r="A42" i="5"/>
  <c r="A44" i="5" s="1"/>
  <c r="A25" i="5"/>
  <c r="A23" i="5"/>
  <c r="A19" i="5"/>
  <c r="A17" i="5"/>
  <c r="A16" i="5"/>
  <c r="A13" i="5"/>
  <c r="A114" i="5" s="1"/>
  <c r="A11" i="5"/>
  <c r="A107" i="5" s="1"/>
  <c r="B65" i="4"/>
  <c r="O10" i="7"/>
  <c r="A25" i="4"/>
  <c r="B66" i="4"/>
  <c r="B64" i="4"/>
  <c r="A23" i="4"/>
  <c r="B63" i="4"/>
  <c r="A19" i="4"/>
  <c r="A17" i="4"/>
  <c r="A16" i="4"/>
  <c r="H138" i="4"/>
  <c r="I138" i="4" s="1"/>
  <c r="B69" i="4"/>
  <c r="B68" i="4"/>
  <c r="A60" i="9" l="1"/>
  <c r="O9" i="7"/>
  <c r="I46" i="9"/>
  <c r="I47" i="9" s="1"/>
  <c r="A39" i="12"/>
  <c r="A38" i="12"/>
  <c r="A46" i="12"/>
  <c r="A51" i="12" s="1"/>
  <c r="A73" i="12"/>
  <c r="C73" i="12" s="1"/>
  <c r="T63" i="12" s="1"/>
  <c r="W63" i="12" s="1"/>
  <c r="A35" i="12" s="1"/>
  <c r="A44" i="12"/>
  <c r="A74" i="12"/>
  <c r="A75" i="12"/>
  <c r="D23" i="7"/>
  <c r="A108" i="11"/>
  <c r="A73" i="11"/>
  <c r="C73" i="11" s="1"/>
  <c r="A46" i="11"/>
  <c r="A51" i="11" s="1"/>
  <c r="A112" i="11"/>
  <c r="D110" i="11"/>
  <c r="A39" i="11"/>
  <c r="A38" i="11"/>
  <c r="A74" i="11"/>
  <c r="A22" i="11"/>
  <c r="A57" i="11"/>
  <c r="A75" i="11"/>
  <c r="I138" i="11"/>
  <c r="A75" i="6"/>
  <c r="L8" i="7" s="1"/>
  <c r="A44" i="10"/>
  <c r="A110" i="10"/>
  <c r="D112" i="10"/>
  <c r="A114" i="10"/>
  <c r="A46" i="10"/>
  <c r="A51" i="10" s="1"/>
  <c r="A73" i="10"/>
  <c r="C73" i="10" s="1"/>
  <c r="A71" i="10"/>
  <c r="C71" i="10" s="1"/>
  <c r="A48" i="10"/>
  <c r="A52" i="10" s="1"/>
  <c r="A47" i="10"/>
  <c r="A50" i="10" s="1"/>
  <c r="J138" i="10"/>
  <c r="A36" i="10"/>
  <c r="A37" i="10" s="1"/>
  <c r="I138" i="6"/>
  <c r="B36" i="6"/>
  <c r="B37" i="6" s="1"/>
  <c r="A76" i="6"/>
  <c r="K8" i="7" s="1"/>
  <c r="A22" i="5"/>
  <c r="A22" i="9"/>
  <c r="B36" i="9"/>
  <c r="B37" i="9" s="1"/>
  <c r="A78" i="9"/>
  <c r="A36" i="9"/>
  <c r="J139" i="9"/>
  <c r="A76" i="9"/>
  <c r="A99" i="9"/>
  <c r="A100" i="9" s="1"/>
  <c r="A110" i="9"/>
  <c r="A114" i="9"/>
  <c r="A77" i="9"/>
  <c r="A49" i="9" s="1"/>
  <c r="A58" i="8"/>
  <c r="A76" i="8"/>
  <c r="A75" i="8"/>
  <c r="A110" i="8"/>
  <c r="A74" i="8"/>
  <c r="A48" i="8" s="1"/>
  <c r="A52" i="8" s="1"/>
  <c r="B36" i="8"/>
  <c r="B37" i="8" s="1"/>
  <c r="A97" i="8"/>
  <c r="A46" i="8"/>
  <c r="A51" i="8" s="1"/>
  <c r="A73" i="8"/>
  <c r="C73" i="8" s="1"/>
  <c r="D112" i="8"/>
  <c r="A114" i="8"/>
  <c r="A71" i="8"/>
  <c r="C71" i="8" s="1"/>
  <c r="J138" i="8"/>
  <c r="A36" i="8"/>
  <c r="A37" i="8" s="1"/>
  <c r="A36" i="5"/>
  <c r="A37" i="5" s="1"/>
  <c r="A97" i="5"/>
  <c r="A76" i="5"/>
  <c r="B36" i="5"/>
  <c r="B37" i="5" s="1"/>
  <c r="A38" i="5" s="1"/>
  <c r="A108" i="6"/>
  <c r="A46" i="6"/>
  <c r="A51" i="6" s="1"/>
  <c r="I14" i="7" s="1"/>
  <c r="A47" i="6"/>
  <c r="A50" i="6" s="1"/>
  <c r="H14" i="7" s="1"/>
  <c r="A112" i="6"/>
  <c r="A36" i="6"/>
  <c r="A37" i="6" s="1"/>
  <c r="A74" i="6"/>
  <c r="J8" i="7" s="1"/>
  <c r="A110" i="5"/>
  <c r="D112" i="5"/>
  <c r="A74" i="5"/>
  <c r="A57" i="5"/>
  <c r="A75" i="5"/>
  <c r="I138" i="5"/>
  <c r="A44" i="4"/>
  <c r="P10" i="7" s="1"/>
  <c r="A75" i="4"/>
  <c r="A74" i="4"/>
  <c r="A76" i="4"/>
  <c r="J138" i="4"/>
  <c r="A37" i="9" l="1"/>
  <c r="A39" i="9" s="1"/>
  <c r="A40" i="9" s="1"/>
  <c r="H36" i="9"/>
  <c r="Q9" i="7"/>
  <c r="A16" i="9"/>
  <c r="A73" i="9"/>
  <c r="C73" i="9" s="1"/>
  <c r="A36" i="13"/>
  <c r="A38" i="13" s="1"/>
  <c r="I52" i="9"/>
  <c r="I53" i="9" s="1"/>
  <c r="A48" i="9"/>
  <c r="A53" i="9" s="1"/>
  <c r="A47" i="12"/>
  <c r="A50" i="12" s="1"/>
  <c r="A72" i="12"/>
  <c r="C72" i="12" s="1"/>
  <c r="T62" i="12" s="1"/>
  <c r="W62" i="12" s="1"/>
  <c r="A34" i="12" s="1"/>
  <c r="A48" i="12"/>
  <c r="A52" i="12" s="1"/>
  <c r="A71" i="12"/>
  <c r="C71" i="12" s="1"/>
  <c r="A61" i="12"/>
  <c r="B67" i="12" s="1"/>
  <c r="B70" i="12" s="1"/>
  <c r="A83" i="12"/>
  <c r="A84" i="12" s="1"/>
  <c r="A83" i="11"/>
  <c r="A84" i="11" s="1"/>
  <c r="A61" i="11"/>
  <c r="B67" i="11" s="1"/>
  <c r="B70" i="11" s="1"/>
  <c r="A47" i="11"/>
  <c r="A50" i="11" s="1"/>
  <c r="A72" i="11"/>
  <c r="C72" i="11" s="1"/>
  <c r="A48" i="11"/>
  <c r="A52" i="11" s="1"/>
  <c r="A71" i="11"/>
  <c r="C71" i="11" s="1"/>
  <c r="A73" i="6"/>
  <c r="C73" i="6" s="1"/>
  <c r="F14" i="7" s="1"/>
  <c r="A72" i="6"/>
  <c r="C72" i="6" s="1"/>
  <c r="E14" i="7" s="1"/>
  <c r="A73" i="5"/>
  <c r="C73" i="5" s="1"/>
  <c r="F11" i="7" s="1"/>
  <c r="A38" i="10"/>
  <c r="A39" i="10"/>
  <c r="A46" i="5"/>
  <c r="A51" i="5" s="1"/>
  <c r="I11" i="7" s="1"/>
  <c r="A75" i="9"/>
  <c r="C75" i="9" s="1"/>
  <c r="T63" i="9" s="1"/>
  <c r="W63" i="9" s="1"/>
  <c r="A50" i="9"/>
  <c r="A54" i="9" s="1"/>
  <c r="A74" i="9"/>
  <c r="C74" i="9" s="1"/>
  <c r="T62" i="9" s="1"/>
  <c r="W62" i="9" s="1"/>
  <c r="A52" i="9"/>
  <c r="A63" i="9"/>
  <c r="B69" i="9" s="1"/>
  <c r="B72" i="9" s="1"/>
  <c r="A85" i="9"/>
  <c r="A86" i="9" s="1"/>
  <c r="A72" i="8"/>
  <c r="C72" i="8" s="1"/>
  <c r="A47" i="8"/>
  <c r="A50" i="8" s="1"/>
  <c r="A39" i="8"/>
  <c r="A38" i="8"/>
  <c r="A47" i="4"/>
  <c r="A50" i="4" s="1"/>
  <c r="H8" i="7" s="1"/>
  <c r="A72" i="4"/>
  <c r="A46" i="4"/>
  <c r="A51" i="4" s="1"/>
  <c r="I8" i="7" s="1"/>
  <c r="A73" i="4"/>
  <c r="A48" i="4"/>
  <c r="A52" i="4" s="1"/>
  <c r="G8" i="7" s="1"/>
  <c r="A71" i="4"/>
  <c r="C71" i="4" s="1"/>
  <c r="D8" i="7" s="1"/>
  <c r="A39" i="5"/>
  <c r="A116" i="5" s="1"/>
  <c r="A71" i="6"/>
  <c r="C71" i="6" s="1"/>
  <c r="D14" i="7" s="1"/>
  <c r="A48" i="6"/>
  <c r="A52" i="6" s="1"/>
  <c r="G14" i="7" s="1"/>
  <c r="A39" i="6"/>
  <c r="A38" i="6"/>
  <c r="A72" i="5"/>
  <c r="C72" i="5" s="1"/>
  <c r="E11" i="7" s="1"/>
  <c r="A47" i="5"/>
  <c r="A50" i="5" s="1"/>
  <c r="H11" i="7" s="1"/>
  <c r="A48" i="5"/>
  <c r="A52" i="5" s="1"/>
  <c r="G11" i="7" s="1"/>
  <c r="A71" i="5"/>
  <c r="C71" i="5" s="1"/>
  <c r="D11" i="7" s="1"/>
  <c r="A38" i="9" l="1"/>
  <c r="A41" i="13"/>
  <c r="A42" i="13" s="1"/>
  <c r="A43" i="13" s="1"/>
  <c r="A39" i="13"/>
  <c r="M8" i="7"/>
  <c r="A35" i="9"/>
  <c r="M9" i="7" s="1"/>
  <c r="A34" i="9"/>
  <c r="N9" i="7" s="1"/>
  <c r="N8" i="7"/>
  <c r="A83" i="10"/>
  <c r="A84" i="10" s="1"/>
  <c r="A61" i="10"/>
  <c r="B67" i="10" s="1"/>
  <c r="B70" i="10" s="1"/>
  <c r="A116" i="10"/>
  <c r="A120" i="5"/>
  <c r="A117" i="5"/>
  <c r="A119" i="5" s="1"/>
  <c r="A61" i="5"/>
  <c r="B67" i="5" s="1"/>
  <c r="B70" i="5" s="1"/>
  <c r="A83" i="5"/>
  <c r="A84" i="5" s="1"/>
  <c r="A83" i="8"/>
  <c r="A84" i="8" s="1"/>
  <c r="A61" i="8"/>
  <c r="B67" i="8" s="1"/>
  <c r="B70" i="8" s="1"/>
  <c r="A116" i="8"/>
  <c r="A61" i="6"/>
  <c r="B67" i="6" s="1"/>
  <c r="B70" i="6" s="1"/>
  <c r="A83" i="6"/>
  <c r="A84" i="6" s="1"/>
  <c r="A82" i="4"/>
  <c r="A56" i="4"/>
  <c r="A58" i="4" s="1"/>
  <c r="A31" i="4"/>
  <c r="AC45" i="4"/>
  <c r="Z45" i="4"/>
  <c r="A80" i="4"/>
  <c r="AC10" i="4"/>
  <c r="Z10" i="4"/>
  <c r="A107" i="4"/>
  <c r="A106" i="4"/>
  <c r="A104" i="4"/>
  <c r="A109" i="4" s="1"/>
  <c r="A110" i="4" s="1"/>
  <c r="D110" i="4" s="1"/>
  <c r="A96" i="4"/>
  <c r="H50" i="4"/>
  <c r="I50" i="4" s="1"/>
  <c r="J49" i="4" s="1"/>
  <c r="A93" i="4"/>
  <c r="A90" i="4"/>
  <c r="A13" i="4"/>
  <c r="A11" i="4"/>
  <c r="A105" i="4" s="1"/>
  <c r="A108" i="4" s="1"/>
  <c r="A120" i="10" l="1"/>
  <c r="A117" i="10"/>
  <c r="A119" i="10" s="1"/>
  <c r="A120" i="8"/>
  <c r="A117" i="8"/>
  <c r="A119" i="8" s="1"/>
  <c r="B36" i="4"/>
  <c r="B37" i="4" s="1"/>
  <c r="A57" i="4"/>
  <c r="A97" i="4"/>
  <c r="A36" i="4"/>
  <c r="A37" i="4" s="1"/>
  <c r="A112" i="4"/>
  <c r="A39" i="4" l="1"/>
  <c r="A61" i="4" s="1"/>
  <c r="B67" i="4" s="1"/>
  <c r="B70" i="4" s="1"/>
  <c r="A38" i="4"/>
  <c r="C73" i="4" l="1"/>
  <c r="F8" i="7" s="1"/>
  <c r="C72" i="4"/>
  <c r="E8" i="7" s="1"/>
  <c r="A83" i="4"/>
  <c r="A84" i="4" s="1"/>
</calcChain>
</file>

<file path=xl/sharedStrings.xml><?xml version="1.0" encoding="utf-8"?>
<sst xmlns="http://schemas.openxmlformats.org/spreadsheetml/2006/main" count="2115" uniqueCount="292">
  <si>
    <t>optic diameter</t>
  </si>
  <si>
    <t>value</t>
  </si>
  <si>
    <t>units</t>
  </si>
  <si>
    <t>description</t>
  </si>
  <si>
    <t>clear aperture diameter</t>
  </si>
  <si>
    <t>o-ring cross-section diameter</t>
  </si>
  <si>
    <t>o-ring shore A hardness</t>
  </si>
  <si>
    <t>o-ring designation</t>
  </si>
  <si>
    <t xml:space="preserve"> --</t>
  </si>
  <si>
    <t>in</t>
  </si>
  <si>
    <t>Viewport Calculations</t>
  </si>
  <si>
    <t>gland fill</t>
  </si>
  <si>
    <t>compression</t>
  </si>
  <si>
    <t>See Parker catalog 5705A, Vacuum Sealing</t>
  </si>
  <si>
    <t>Fluorocarbon (FKM)</t>
  </si>
  <si>
    <t>Perfluoroelastomer (FFKM)</t>
  </si>
  <si>
    <t>compare Parker o-ring leak rate with PSI measurements</t>
  </si>
  <si>
    <t>leak rate (cc/sec/in)</t>
  </si>
  <si>
    <t>leak rate (torr-Liter/s)</t>
  </si>
  <si>
    <t>Parker recommends Gask-O-Seals -- what is this?</t>
  </si>
  <si>
    <t>Surface finish of 16 rms common, but 32 have been successful</t>
  </si>
  <si>
    <t>Use leak rate approx. method in section on gasses</t>
  </si>
  <si>
    <t>Design chart 4-2. If difficult to assemble, use design chart 4-1 and design table 4-1</t>
  </si>
  <si>
    <t>std. cc/sec</t>
  </si>
  <si>
    <t>std. cc cm/cm^2 sec bar</t>
  </si>
  <si>
    <t>D, o-ring I.D.</t>
  </si>
  <si>
    <t>psi</t>
  </si>
  <si>
    <t>Q, factor depending on % squeeze (dry) (Fig 3-11)</t>
  </si>
  <si>
    <t>S, squeeze fraction (squeeze percent/100)</t>
  </si>
  <si>
    <t>L, permeability rate through o-ring</t>
  </si>
  <si>
    <t>L=.7*F*D*P*Q*(1-S)^2, permeability rate through o-ring</t>
  </si>
  <si>
    <t>F, permeability rate of air through elastomer (table 3-24)</t>
  </si>
  <si>
    <t>torr-liter/sec</t>
  </si>
  <si>
    <t>Vacuum seal glands, design chart 4-7</t>
  </si>
  <si>
    <t>For viewport seals, dimension I.D. and width (not O.D.)</t>
  </si>
  <si>
    <t>o-ring compression force per length</t>
  </si>
  <si>
    <t>o-ring total compression force</t>
  </si>
  <si>
    <t>pressure force on optic</t>
  </si>
  <si>
    <t>lb/in</t>
  </si>
  <si>
    <t>lb</t>
  </si>
  <si>
    <t>notes</t>
  </si>
  <si>
    <t>optic material</t>
  </si>
  <si>
    <t>optic ultimate strength</t>
  </si>
  <si>
    <t>30% min, 50% ideal for vacuum</t>
  </si>
  <si>
    <t>OPTIC STRESS</t>
  </si>
  <si>
    <t>Young, Roark's Formulas for Stress &amp; Strain, 6th ed., Table 24, case 10a</t>
  </si>
  <si>
    <t>simply supported, flat circular plate of constant thickness</t>
  </si>
  <si>
    <t>a, simply supported radius</t>
  </si>
  <si>
    <t>D=E*t^3/[12*(1-nu^2), plate constant</t>
  </si>
  <si>
    <t>t, optic thickness</t>
  </si>
  <si>
    <t>E, optic elastic modulus</t>
  </si>
  <si>
    <t>nu, optic Poison's ratio</t>
  </si>
  <si>
    <t>in-lb</t>
  </si>
  <si>
    <t>P, q, pressure</t>
  </si>
  <si>
    <t>L11 (for r0 = 0), loading constant</t>
  </si>
  <si>
    <t>L17 (for r0 = 0), loading constant</t>
  </si>
  <si>
    <t>with uniformly distributed pressure (r0 = 0)</t>
  </si>
  <si>
    <t>yc = (-q a^4) (5+nu)/(64D(1+nu)), Center deflection</t>
  </si>
  <si>
    <t>in-lb/in</t>
  </si>
  <si>
    <t>Mc = q a^2 (3+nu)/16, unit bending moment at center</t>
  </si>
  <si>
    <t>Pa</t>
  </si>
  <si>
    <t>sc = 6 Mc/t^2, bending stress at plate center (outer fiber)</t>
  </si>
  <si>
    <t>Safety Margin</t>
  </si>
  <si>
    <t>FS, Factor of Safety</t>
  </si>
  <si>
    <t>fused silica</t>
  </si>
  <si>
    <t>P. Yoder, Opto-mechanical Systems Design, Table 3.5</t>
  </si>
  <si>
    <t>OPTIC</t>
  </si>
  <si>
    <t>VACUUM SEAL O-RING</t>
  </si>
  <si>
    <r>
      <rPr>
        <b/>
        <sz val="11"/>
        <color theme="1"/>
        <rFont val="Calibri"/>
        <family val="2"/>
      </rPr>
      <t>±</t>
    </r>
    <r>
      <rPr>
        <b/>
        <sz val="9.35"/>
        <color theme="1"/>
        <rFont val="Calibri"/>
        <family val="2"/>
      </rPr>
      <t xml:space="preserve"> tol</t>
    </r>
  </si>
  <si>
    <t>70 shore A</t>
  </si>
  <si>
    <t>min F (lb/in)</t>
  </si>
  <si>
    <t>80 shore A</t>
  </si>
  <si>
    <t>max F (lb/in)</t>
  </si>
  <si>
    <t>.139 Cross Section</t>
  </si>
  <si>
    <t>WINDOW CLAMP BOLT LOADS</t>
  </si>
  <si>
    <t>number of bolts</t>
  </si>
  <si>
    <t>bolt major diameter</t>
  </si>
  <si>
    <t>bolt minor diameter</t>
  </si>
  <si>
    <t>bolt type</t>
  </si>
  <si>
    <t>.210 Cross Section</t>
  </si>
  <si>
    <t>min o-ring force</t>
  </si>
  <si>
    <t>max o-ring force</t>
  </si>
  <si>
    <t>CLAMPING RING/WASHER</t>
  </si>
  <si>
    <t>material</t>
  </si>
  <si>
    <t>PEEK</t>
  </si>
  <si>
    <t>ring width</t>
  </si>
  <si>
    <t>elastic modulus</t>
  </si>
  <si>
    <t>max compression</t>
  </si>
  <si>
    <t>ring thickness</t>
  </si>
  <si>
    <t>Do, ring O.D.</t>
  </si>
  <si>
    <t>Di, ring I.D.</t>
  </si>
  <si>
    <t>ring center diameter</t>
  </si>
  <si>
    <t>o-ring center diameter</t>
  </si>
  <si>
    <t>stair-step the ring cross-section to reduce clamping moment?</t>
  </si>
  <si>
    <t>tensile stress area</t>
  </si>
  <si>
    <t>max load per bolt to compress o-ring</t>
  </si>
  <si>
    <t>max stress per bolt to compress o-ring</t>
  </si>
  <si>
    <t>in^2</t>
  </si>
  <si>
    <t>tensile strength</t>
  </si>
  <si>
    <t>Unbrako, SHCS, Stainless steel</t>
  </si>
  <si>
    <t>min tensile yield stress</t>
  </si>
  <si>
    <t>min tensile ultimate stress</t>
  </si>
  <si>
    <t>seating torque</t>
  </si>
  <si>
    <t>5/16 - 24 UNRF, silver plated</t>
  </si>
  <si>
    <t>CLAMPING TOLERANCES</t>
  </si>
  <si>
    <t>window clamp,  recess for clamp ring, depth</t>
  </si>
  <si>
    <t>flange , recess for optic, depth</t>
  </si>
  <si>
    <t>o-ring, gland, depth</t>
  </si>
  <si>
    <t>clamp ring, thickness</t>
  </si>
  <si>
    <t>optic, thickness</t>
  </si>
  <si>
    <t>clamp compression tolerance</t>
  </si>
  <si>
    <t>minimum gap</t>
  </si>
  <si>
    <t>GLAND</t>
  </si>
  <si>
    <t>gland I.D.</t>
  </si>
  <si>
    <t>gland width</t>
  </si>
  <si>
    <t>gland depth</t>
  </si>
  <si>
    <t>WINDOW CLAMP</t>
  </si>
  <si>
    <t>Dco, window clamp outer diameter</t>
  </si>
  <si>
    <t>Dci, window clamp inner diameter</t>
  </si>
  <si>
    <t>Dcr, window clamp recess diameter</t>
  </si>
  <si>
    <t>tc, window clamp thickness</t>
  </si>
  <si>
    <t>bc, window clamp recess depth</t>
  </si>
  <si>
    <t>standard dimension?</t>
  </si>
  <si>
    <t>clamp ring, max. compression</t>
  </si>
  <si>
    <t>FLANGE</t>
  </si>
  <si>
    <t>Dfo, flange outer diameter</t>
  </si>
  <si>
    <t>Dfi, flange inner diameter</t>
  </si>
  <si>
    <t>Dfr, flange recess diameter</t>
  </si>
  <si>
    <t>tf, flange thickness</t>
  </si>
  <si>
    <t>bf, flange recess depth</t>
  </si>
  <si>
    <t>nominal gap</t>
  </si>
  <si>
    <t>maximum gap</t>
  </si>
  <si>
    <t>g_allowable, allowable clearance gap</t>
  </si>
  <si>
    <t>o-ring, cross-section diameter</t>
  </si>
  <si>
    <t>Parker Handbook, Fig 3-2, 70 shore A, &lt; 100 psi</t>
  </si>
  <si>
    <t>gland OD (reference dimension)</t>
  </si>
  <si>
    <t>Parker Handbook, design chart 4-3, vacuum</t>
  </si>
  <si>
    <t>gland volume, min</t>
  </si>
  <si>
    <t>gland volume, max</t>
  </si>
  <si>
    <t>gland volume, nominal</t>
  </si>
  <si>
    <t>gland fill, min</t>
  </si>
  <si>
    <t>gland fill, max</t>
  </si>
  <si>
    <t>gland fill, nominal</t>
  </si>
  <si>
    <t>gland fill, ideal</t>
  </si>
  <si>
    <t>% compression, ideal</t>
  </si>
  <si>
    <t>75% ideal, 60% to 90% allowed</t>
  </si>
  <si>
    <t>nominal squeeze (compression)</t>
  </si>
  <si>
    <t>min squeeze (compression)</t>
  </si>
  <si>
    <t>max squeeze (compression)</t>
  </si>
  <si>
    <t>gland width (should be .158 to .164)</t>
  </si>
  <si>
    <t>higher than recommended</t>
  </si>
  <si>
    <t>#2-254</t>
  </si>
  <si>
    <t>#2-357</t>
  </si>
  <si>
    <t>#2-433</t>
  </si>
  <si>
    <t>gland width (should be .309 to .314)</t>
  </si>
  <si>
    <t>.</t>
  </si>
  <si>
    <t>PLATE BENDING DUE TO 1 ATMOSPHERE</t>
  </si>
  <si>
    <t>O-RING COMPRESSION</t>
  </si>
  <si>
    <t>maximum total force from o-ring compression</t>
  </si>
  <si>
    <t>max pressure from o-ring</t>
  </si>
  <si>
    <t>bulk modulus</t>
  </si>
  <si>
    <t>compressive displacement</t>
  </si>
  <si>
    <t>OPTIC STRESS &amp; DEFORMATION</t>
  </si>
  <si>
    <t>exceeds OD of optic</t>
  </si>
  <si>
    <t>bevel width</t>
  </si>
  <si>
    <t>optic face diameter</t>
  </si>
  <si>
    <t>glass spec E1100267-v1</t>
  </si>
  <si>
    <r>
      <t>glass spec E1100267-v1 (</t>
    </r>
    <r>
      <rPr>
        <sz val="11"/>
        <color rgb="FFFF0000"/>
        <rFont val="Calibri"/>
        <family val="2"/>
        <scheme val="minor"/>
      </rPr>
      <t>bevel dimension not specific!</t>
    </r>
    <r>
      <rPr>
        <sz val="11"/>
        <color theme="1"/>
        <rFont val="Calibri"/>
        <family val="2"/>
        <scheme val="minor"/>
      </rPr>
      <t>)</t>
    </r>
  </si>
  <si>
    <t>Too Close to Optic Flat Diameter!</t>
  </si>
  <si>
    <t>o-ring</t>
  </si>
  <si>
    <t>designation</t>
  </si>
  <si>
    <t>cross-section
dia. (in)</t>
  </si>
  <si>
    <t>ID (in)</t>
  </si>
  <si>
    <t>comment</t>
  </si>
  <si>
    <t>gland OD too close to optic edge</t>
  </si>
  <si>
    <t>#2-253</t>
  </si>
  <si>
    <t>#2-432</t>
  </si>
  <si>
    <t>#2-356</t>
  </si>
  <si>
    <t>exceeds OD of optic face</t>
  </si>
  <si>
    <t>tw, gland min wall thickness</t>
  </si>
  <si>
    <t>check that this is larger than clear aperture</t>
  </si>
  <si>
    <t>nom</t>
  </si>
  <si>
    <t>min</t>
  </si>
  <si>
    <t>max</t>
  </si>
  <si>
    <t>Gland</t>
  </si>
  <si>
    <t>OD (in)</t>
  </si>
  <si>
    <t>mechanical
clear aperture (in)</t>
  </si>
  <si>
    <t>≤ 90%</t>
  </si>
  <si>
    <t>≥ 60%</t>
  </si>
  <si>
    <t>≥ 20%</t>
  </si>
  <si>
    <t>Criteria</t>
  </si>
  <si>
    <t>Ideal</t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</si>
  <si>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5.200</t>
    </r>
  </si>
  <si>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5.895</t>
    </r>
  </si>
  <si>
    <t>gland OD exceeds optic face OD</t>
  </si>
  <si>
    <t>#2-355</t>
  </si>
  <si>
    <t>#2-431</t>
  </si>
  <si>
    <t>#2-252</t>
  </si>
  <si>
    <t>for high vacuum</t>
  </si>
  <si>
    <t>mech clear aperture &lt; optical clear aperture</t>
  </si>
  <si>
    <t>clearance (in)</t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</si>
  <si>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.005</t>
    </r>
  </si>
  <si>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~.031</t>
    </r>
  </si>
  <si>
    <t>leak rate, min</t>
  </si>
  <si>
    <t>leak rate, max</t>
  </si>
  <si>
    <t>squeeze</t>
  </si>
  <si>
    <t>He Leak Rate
(cc/sec/in)</t>
  </si>
  <si>
    <t>He Leak Rate
(torr-liter/sec/in)</t>
  </si>
  <si>
    <t>Air Leak Rate
(torr-liter/sec/in)</t>
  </si>
  <si>
    <t>air leak rate
(torr-liter/sec)</t>
  </si>
  <si>
    <t>Compare to a pressure of 20 nTorr in these volumes (10 nTorr in the LLO end stations). This is a weak function</t>
  </si>
  <si>
    <t>The only solution which meets all criteria</t>
  </si>
  <si>
    <t>SLC 6" Dia, No-Wedge, Optical Viewport</t>
  </si>
  <si>
    <r>
      <t xml:space="preserve">1) All critical dimensions toleranced at </t>
    </r>
    <r>
      <rPr>
        <sz val="11"/>
        <color theme="1"/>
        <rFont val="Calibri"/>
        <family val="2"/>
      </rPr>
      <t>± .001 in</t>
    </r>
  </si>
  <si>
    <t>2) Trading mechanical aperture for leak rate: An air leak rate of 2.9e-6 vs 1.7  t-l/s results in an increase of 1 nTorr in the vertex/diagonal sections or 2 nTorr in the end stations.</t>
  </si>
  <si>
    <t>WHAT IF OPTIC THICKNESS WAS TIGHTLY CONTROLLED</t>
  </si>
  <si>
    <t>Set to 1/2 the maximum o-ring cross-section diameter</t>
  </si>
  <si>
    <t>width</t>
  </si>
  <si>
    <t>depth</t>
  </si>
  <si>
    <t>mm</t>
  </si>
  <si>
    <t>d, o-ring cross-section diameter</t>
  </si>
  <si>
    <t>A. Roth, Vacuum Sealing Techniques, Table 3-30</t>
  </si>
  <si>
    <t>A</t>
  </si>
  <si>
    <t>h</t>
  </si>
  <si>
    <t>L</t>
  </si>
  <si>
    <t>3) Note that the &lt; 5 arc minute wedge requirement (E1100267-v1) corresponds to &lt; .0087 in over the 6 in dia., which is within the thickness tolerance; These are not additive tolerances.</t>
  </si>
  <si>
    <r>
      <t>glass spec E1100267-v1
(</t>
    </r>
    <r>
      <rPr>
        <sz val="11"/>
        <color rgb="FFFF0000"/>
        <rFont val="Calibri"/>
        <family val="2"/>
        <scheme val="minor"/>
      </rPr>
      <t>bevel dimension not specific! Should prefer smaller ID glands</t>
    </r>
    <r>
      <rPr>
        <sz val="11"/>
        <color theme="1"/>
        <rFont val="Calibri"/>
        <family val="2"/>
        <scheme val="minor"/>
      </rPr>
      <t>)</t>
    </r>
  </si>
  <si>
    <t>a) if the o-ring ID is less than the glad ID (e.g. due to tolerances in fabrication)</t>
  </si>
  <si>
    <t>b) as the o-ring is comressed and it stretches to a greater diameter</t>
  </si>
  <si>
    <t>So, one must consider the volume, not just the vertical squeeze and the cross-sectional area</t>
  </si>
  <si>
    <t>standard formulas and design guidance for o-ring compression (i.e. squeeze) are two-dimensional</t>
  </si>
  <si>
    <t>d</t>
  </si>
  <si>
    <t>o-ring unstretched, un-compressed inner diamter (ID)</t>
  </si>
  <si>
    <t>symbol</t>
  </si>
  <si>
    <t>Dg</t>
  </si>
  <si>
    <t>gland inner diameter</t>
  </si>
  <si>
    <t>Ao</t>
  </si>
  <si>
    <t>o-ring unstretched, un-compressed cross-sectional area</t>
  </si>
  <si>
    <t>Vo</t>
  </si>
  <si>
    <t>in^3</t>
  </si>
  <si>
    <t>mm^2</t>
  </si>
  <si>
    <t>mm^3</t>
  </si>
  <si>
    <t>nom, o-ring unstretched, un-compressed volume</t>
  </si>
  <si>
    <t>min, o-ring unstretched, un-compressed volume</t>
  </si>
  <si>
    <t>max, o-ring unstretched, un-compressed volume</t>
  </si>
  <si>
    <t>nom, o-ring unstretched, un-compressed, center diamter (ID)</t>
  </si>
  <si>
    <t>min, o-ring unstretched, un-compressed, center diamter (ID)</t>
  </si>
  <si>
    <t>max, o-ring unstretched, un-compressed, center diamter (ID)</t>
  </si>
  <si>
    <t>Di</t>
  </si>
  <si>
    <t>Dc</t>
  </si>
  <si>
    <t>nom, o-ring unstretched, un-comressed cross-sectional diameter</t>
  </si>
  <si>
    <t>min, o-ring unstretched, un-comressed cross-sectional diameter</t>
  </si>
  <si>
    <t>max, o-ring unstretched, un-comressed cross-sectional diameter</t>
  </si>
  <si>
    <t>dos</t>
  </si>
  <si>
    <t>initial cross-section dia, min volume o-ring</t>
  </si>
  <si>
    <t>effective squeeze due to min V with Dg = Do</t>
  </si>
  <si>
    <t>However, the o-ring is stretched circumferrentially:</t>
  </si>
  <si>
    <t>Consider the case where the gland ID is set equal to the nominal o-ring ID (Parker)</t>
  </si>
  <si>
    <t>Consider the case where the gland ID is set equal to the nominal o-ring ID less 15% of the o-ring cross-sectional dia. (Roth)</t>
  </si>
  <si>
    <t>effective squeeze due to min V with Dg</t>
  </si>
  <si>
    <t>gland area, min</t>
  </si>
  <si>
    <t>gland area, max</t>
  </si>
  <si>
    <t>gland area, nominal</t>
  </si>
  <si>
    <t>GLAND FILL RATIO</t>
  </si>
  <si>
    <t>O-RING VOLUMETRIC COMPRESSION</t>
  </si>
  <si>
    <t>The fill ratio is normally defined on the basis of the cross-sectional area of the o-ring and gland. Consider the volumes instead:</t>
  </si>
  <si>
    <t>k</t>
  </si>
  <si>
    <t>Vg</t>
  </si>
  <si>
    <t>gland cross-sectional area</t>
  </si>
  <si>
    <t>gap</t>
  </si>
  <si>
    <t>g</t>
  </si>
  <si>
    <t>w</t>
  </si>
  <si>
    <t>Ag</t>
  </si>
  <si>
    <t>K</t>
  </si>
  <si>
    <t>o-ring/gland fill ratio, area based</t>
  </si>
  <si>
    <t>o-ring/gland fill ratio, volume based</t>
  </si>
  <si>
    <t>error in fill ratio using cross-sectional area</t>
  </si>
  <si>
    <t>Le</t>
  </si>
  <si>
    <t>minimum thread engagement length</t>
  </si>
  <si>
    <t>At</t>
  </si>
  <si>
    <t>D</t>
  </si>
  <si>
    <t>major diameter</t>
  </si>
  <si>
    <t>1/in</t>
  </si>
  <si>
    <t>p</t>
  </si>
  <si>
    <t>number of threads per inch</t>
  </si>
  <si>
    <t>n</t>
  </si>
  <si>
    <t>pitch</t>
  </si>
  <si>
    <t>engineersedge.com</t>
  </si>
  <si>
    <t>min, rule of thumb</t>
  </si>
  <si>
    <t>ideal, rule of thumb</t>
  </si>
  <si>
    <t>max pressure on clamping ring</t>
  </si>
  <si>
    <t>max pressure on o-ring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</si>
</sst>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.35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6"/>
      <color theme="1"/>
      <name val="Arial Black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3" fillId="0" borderId="0" xfId="0" applyFont="1"/>
    <xf numFmtId="9" fontId="0" fillId="0" borderId="0" xfId="0" applyNumberFormat="1"/>
    <xf numFmtId="1" fontId="0" fillId="0" borderId="0" xfId="0" applyNumberFormat="1"/>
    <xf numFmtId="0" fontId="0" fillId="0" borderId="1" xfId="0" applyBorder="1"/>
    <xf numFmtId="9" fontId="0" fillId="0" borderId="1" xfId="0" applyNumberFormat="1" applyBorder="1"/>
    <xf numFmtId="1" fontId="0" fillId="0" borderId="1" xfId="0" applyNumberFormat="1" applyBorder="1"/>
    <xf numFmtId="11" fontId="0" fillId="0" borderId="0" xfId="0" applyNumberFormat="1"/>
    <xf numFmtId="0" fontId="0" fillId="2" borderId="0" xfId="0" applyFill="1"/>
    <xf numFmtId="0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4" fillId="0" borderId="0" xfId="0" applyFont="1"/>
    <xf numFmtId="0" fontId="5" fillId="0" borderId="0" xfId="0" applyFont="1"/>
    <xf numFmtId="0" fontId="0" fillId="0" borderId="0" xfId="0" quotePrefix="1" applyNumberFormat="1"/>
    <xf numFmtId="164" fontId="0" fillId="0" borderId="0" xfId="0" applyNumberFormat="1"/>
    <xf numFmtId="165" fontId="0" fillId="0" borderId="0" xfId="0" applyNumberFormat="1"/>
    <xf numFmtId="165" fontId="0" fillId="2" borderId="0" xfId="0" applyNumberFormat="1" applyFill="1"/>
    <xf numFmtId="165" fontId="0" fillId="0" borderId="0" xfId="0" applyNumberFormat="1" applyFill="1"/>
    <xf numFmtId="9" fontId="0" fillId="3" borderId="0" xfId="0" applyNumberFormat="1" applyFill="1"/>
    <xf numFmtId="0" fontId="0" fillId="0" borderId="0" xfId="0" applyBorder="1"/>
    <xf numFmtId="9" fontId="0" fillId="0" borderId="0" xfId="0" applyNumberFormat="1" applyBorder="1"/>
    <xf numFmtId="1" fontId="0" fillId="0" borderId="0" xfId="0" applyNumberFormat="1" applyBorder="1"/>
    <xf numFmtId="1" fontId="0" fillId="2" borderId="0" xfId="0" applyNumberFormat="1" applyFill="1"/>
    <xf numFmtId="0" fontId="7" fillId="0" borderId="0" xfId="0" applyFont="1"/>
    <xf numFmtId="165" fontId="0" fillId="4" borderId="0" xfId="0" applyNumberFormat="1" applyFill="1"/>
    <xf numFmtId="0" fontId="0" fillId="4" borderId="0" xfId="0" applyFill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5" fontId="0" fillId="0" borderId="1" xfId="0" applyNumberFormat="1" applyBorder="1"/>
    <xf numFmtId="0" fontId="0" fillId="0" borderId="1" xfId="0" applyBorder="1" applyAlignment="1">
      <alignment wrapText="1"/>
    </xf>
    <xf numFmtId="0" fontId="0" fillId="4" borderId="1" xfId="0" applyFill="1" applyBorder="1"/>
    <xf numFmtId="165" fontId="0" fillId="0" borderId="0" xfId="0" applyNumberFormat="1" applyBorder="1"/>
    <xf numFmtId="9" fontId="2" fillId="0" borderId="1" xfId="0" applyNumberFormat="1" applyFont="1" applyBorder="1" applyAlignment="1">
      <alignment wrapText="1"/>
    </xf>
    <xf numFmtId="165" fontId="2" fillId="0" borderId="1" xfId="0" applyNumberFormat="1" applyFont="1" applyBorder="1" applyAlignment="1">
      <alignment wrapText="1"/>
    </xf>
    <xf numFmtId="165" fontId="2" fillId="0" borderId="0" xfId="0" applyNumberFormat="1" applyFont="1" applyBorder="1" applyAlignment="1">
      <alignment horizontal="center"/>
    </xf>
    <xf numFmtId="9" fontId="8" fillId="0" borderId="0" xfId="0" applyNumberFormat="1" applyFont="1" applyBorder="1"/>
    <xf numFmtId="9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9" fontId="8" fillId="0" borderId="1" xfId="0" applyNumberFormat="1" applyFont="1" applyBorder="1" applyAlignment="1">
      <alignment horizontal="right"/>
    </xf>
    <xf numFmtId="165" fontId="0" fillId="4" borderId="1" xfId="0" applyNumberFormat="1" applyFill="1" applyBorder="1"/>
    <xf numFmtId="165" fontId="0" fillId="2" borderId="1" xfId="0" applyNumberFormat="1" applyFill="1" applyBorder="1"/>
    <xf numFmtId="0" fontId="0" fillId="2" borderId="1" xfId="0" applyFill="1" applyBorder="1"/>
    <xf numFmtId="165" fontId="0" fillId="0" borderId="1" xfId="0" applyNumberFormat="1" applyFill="1" applyBorder="1"/>
    <xf numFmtId="165" fontId="0" fillId="3" borderId="1" xfId="0" applyNumberFormat="1" applyFill="1" applyBorder="1"/>
    <xf numFmtId="0" fontId="0" fillId="0" borderId="1" xfId="0" applyFont="1" applyBorder="1"/>
    <xf numFmtId="165" fontId="8" fillId="0" borderId="0" xfId="0" applyNumberFormat="1" applyFont="1" applyBorder="1"/>
    <xf numFmtId="165" fontId="8" fillId="0" borderId="1" xfId="0" applyNumberFormat="1" applyFont="1" applyBorder="1" applyAlignment="1">
      <alignment horizontal="right"/>
    </xf>
    <xf numFmtId="0" fontId="0" fillId="3" borderId="1" xfId="0" applyFill="1" applyBorder="1"/>
    <xf numFmtId="11" fontId="0" fillId="0" borderId="1" xfId="0" applyNumberFormat="1" applyBorder="1"/>
    <xf numFmtId="11" fontId="0" fillId="0" borderId="0" xfId="0" applyNumberFormat="1" applyBorder="1"/>
    <xf numFmtId="11" fontId="8" fillId="0" borderId="0" xfId="0" applyNumberFormat="1" applyFont="1" applyBorder="1"/>
    <xf numFmtId="11" fontId="2" fillId="0" borderId="1" xfId="0" applyNumberFormat="1" applyFont="1" applyBorder="1" applyAlignment="1">
      <alignment wrapText="1"/>
    </xf>
    <xf numFmtId="11" fontId="0" fillId="0" borderId="1" xfId="0" applyNumberFormat="1" applyBorder="1" applyAlignment="1">
      <alignment horizontal="right"/>
    </xf>
    <xf numFmtId="0" fontId="0" fillId="0" borderId="0" xfId="0" applyBorder="1" applyAlignment="1">
      <alignment wrapText="1"/>
    </xf>
    <xf numFmtId="11" fontId="0" fillId="0" borderId="1" xfId="0" applyNumberFormat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/>
    <xf numFmtId="0" fontId="0" fillId="5" borderId="0" xfId="0" applyFill="1"/>
    <xf numFmtId="164" fontId="0" fillId="3" borderId="0" xfId="0" applyNumberFormat="1" applyFill="1"/>
    <xf numFmtId="165" fontId="0" fillId="3" borderId="0" xfId="0" applyNumberFormat="1" applyFill="1"/>
    <xf numFmtId="165" fontId="0" fillId="5" borderId="0" xfId="0" applyNumberFormat="1" applyFill="1"/>
    <xf numFmtId="164" fontId="0" fillId="0" borderId="0" xfId="0" applyNumberFormat="1" applyFill="1"/>
    <xf numFmtId="164" fontId="0" fillId="2" borderId="0" xfId="0" applyNumberFormat="1" applyFill="1"/>
    <xf numFmtId="10" fontId="0" fillId="3" borderId="0" xfId="0" applyNumberFormat="1" applyFill="1"/>
    <xf numFmtId="10" fontId="0" fillId="0" borderId="0" xfId="0" applyNumberFormat="1"/>
    <xf numFmtId="0" fontId="2" fillId="0" borderId="1" xfId="0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11" fontId="2" fillId="0" borderId="5" xfId="0" applyNumberFormat="1" applyFont="1" applyBorder="1" applyAlignment="1">
      <alignment horizontal="center" wrapText="1"/>
    </xf>
    <xf numFmtId="11" fontId="2" fillId="0" borderId="7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165" fontId="2" fillId="0" borderId="6" xfId="0" applyNumberFormat="1" applyFont="1" applyBorder="1" applyAlignment="1">
      <alignment horizontal="center"/>
    </xf>
    <xf numFmtId="165" fontId="2" fillId="0" borderId="7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'SLC 6in no wedge #2-253 WHAT IF'!$Y$10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6in no wedge #2-253 WHAT IF'!$Z$10</c:f>
              <c:numCache>
                <c:formatCode>0</c:formatCode>
                <c:ptCount val="1"/>
                <c:pt idx="0">
                  <c:v>39.037499999999994</c:v>
                </c:pt>
              </c:numCache>
            </c:numRef>
          </c:yVal>
          <c:smooth val="0"/>
        </c:ser>
        <c:ser>
          <c:idx val="3"/>
          <c:order val="1"/>
          <c:tx>
            <c:v>80 shore A max, 50%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</c:spPr>
          </c:marker>
          <c:xVal>
            <c:numRef>
              <c:f>'SLC 6in no wedge #2-253 WHAT IF'!$Y$10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6in no wedge #2-253 WHAT IF'!$AC$10</c:f>
              <c:numCache>
                <c:formatCode>General</c:formatCode>
                <c:ptCount val="1"/>
                <c:pt idx="0">
                  <c:v>287.21154999999999</c:v>
                </c:pt>
              </c:numCache>
            </c:numRef>
          </c:yVal>
          <c:smooth val="0"/>
        </c:ser>
        <c:ser>
          <c:idx val="0"/>
          <c:order val="2"/>
          <c:tx>
            <c:v>Parker data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6in no wedge #2-253 WHAT IF'!$Y$4:$Y$9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6in no wedge #2-253 WHAT IF'!$Z$4:$Z$9</c:f>
              <c:numCache>
                <c:formatCode>General</c:formatCode>
                <c:ptCount val="6"/>
                <c:pt idx="0">
                  <c:v>0</c:v>
                </c:pt>
                <c:pt idx="1">
                  <c:v>0.95</c:v>
                </c:pt>
                <c:pt idx="2">
                  <c:v>2</c:v>
                </c:pt>
                <c:pt idx="3">
                  <c:v>4.5</c:v>
                </c:pt>
                <c:pt idx="4">
                  <c:v>10</c:v>
                </c:pt>
                <c:pt idx="5">
                  <c:v>25</c:v>
                </c:pt>
              </c:numCache>
            </c:numRef>
          </c:yVal>
          <c:smooth val="0"/>
        </c:ser>
        <c:ser>
          <c:idx val="2"/>
          <c:order val="3"/>
          <c:tx>
            <c:v>Parker data, 80sA max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6in no wedge #2-253 WHAT IF'!$Y$4:$Y$9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6in no wedge #2-253 WHAT IF'!$AC$4:$AC$9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45</c:v>
                </c:pt>
                <c:pt idx="4">
                  <c:v>90</c:v>
                </c:pt>
                <c:pt idx="5">
                  <c:v>190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602112"/>
        <c:axId val="258603648"/>
      </c:scatterChart>
      <c:valAx>
        <c:axId val="2586021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58603648"/>
        <c:crosses val="autoZero"/>
        <c:crossBetween val="midCat"/>
      </c:valAx>
      <c:valAx>
        <c:axId val="258603648"/>
        <c:scaling>
          <c:orientation val="minMax"/>
          <c:max val="3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58602112"/>
        <c:crosses val="autoZero"/>
        <c:crossBetween val="midCat"/>
      </c:valAx>
    </c:plotArea>
    <c:legend>
      <c:legendPos val="r"/>
      <c:legendEntry>
        <c:idx val="5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#2-355'!$Y$4:$Y$9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#2-355'!$Z$4:$Z$9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#2-355'!$Y$10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#2-355'!$Z$10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#2-355'!$Y$4:$Y$9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#2-355'!$AC$4:$AC$9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#2-355'!$Y$10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#2-355'!$AC$10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846528"/>
        <c:axId val="239848448"/>
      </c:scatterChart>
      <c:valAx>
        <c:axId val="23984652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9848448"/>
        <c:crosses val="autoZero"/>
        <c:crossBetween val="midCat"/>
      </c:valAx>
      <c:valAx>
        <c:axId val="23984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846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9.6907480314960631E-2"/>
                  <c:y val="1.1705307669874598E-3"/>
                </c:manualLayout>
              </c:layout>
              <c:numFmt formatCode="General" sourceLinked="0"/>
            </c:trendlineLbl>
          </c:trendline>
          <c:xVal>
            <c:numRef>
              <c:f>'SLC - 6in no wedge #2-253'!$T$59:$T$61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181248"/>
        <c:axId val="240182784"/>
      </c:scatterChart>
      <c:valAx>
        <c:axId val="24018124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0182784"/>
        <c:crosses val="autoZero"/>
        <c:crossBetween val="midCat"/>
      </c:valAx>
      <c:valAx>
        <c:axId val="240182784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40181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#2-356'!$Y$4:$Y$9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#2-356'!$Z$4:$Z$9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#2-356'!$Y$10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#2-356'!$Z$10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#2-356'!$Y$4:$Y$9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#2-356'!$AC$4:$AC$9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#2-356'!$Y$10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#2-356'!$AC$10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240128"/>
        <c:axId val="240242048"/>
      </c:scatterChart>
      <c:valAx>
        <c:axId val="24024012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0242048"/>
        <c:crosses val="autoZero"/>
        <c:crossBetween val="midCat"/>
      </c:valAx>
      <c:valAx>
        <c:axId val="240242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240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#2-357'!$Y$4:$Y$9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#2-357'!$Z$4:$Z$9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#2-357'!$Y$10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#2-357'!$Z$10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#2-357'!$Y$4:$Y$9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#2-357'!$AC$4:$AC$9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#2-357'!$Y$10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#2-357'!$AC$10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580864"/>
        <c:axId val="242595328"/>
      </c:scatterChart>
      <c:valAx>
        <c:axId val="24258086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2595328"/>
        <c:crosses val="autoZero"/>
        <c:crossBetween val="midCat"/>
      </c:valAx>
      <c:valAx>
        <c:axId val="24259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580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#2-432'!$Y$4:$Y$9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#2-432'!$Z$4:$Z$9</c:f>
              <c:numCache>
                <c:formatCode>General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7</c:v>
                </c:pt>
                <c:pt idx="3">
                  <c:v>22</c:v>
                </c:pt>
                <c:pt idx="4">
                  <c:v>45</c:v>
                </c:pt>
                <c:pt idx="5">
                  <c:v>110</c:v>
                </c:pt>
              </c:numCache>
            </c:numRef>
          </c:yVal>
          <c:smooth val="0"/>
        </c:ser>
        <c:ser>
          <c:idx val="2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#2-432'!$Y$10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#2-432'!$Z$10</c:f>
              <c:numCache>
                <c:formatCode>0</c:formatCode>
                <c:ptCount val="1"/>
                <c:pt idx="0">
                  <c:v>172.48400000000001</c:v>
                </c:pt>
              </c:numCache>
            </c:numRef>
          </c:yVal>
          <c:smooth val="0"/>
        </c:ser>
        <c:ser>
          <c:idx val="1"/>
          <c:order val="2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#2-432'!$Y$4:$Y$9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#2-432'!$AC$4:$AC$9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65</c:v>
                </c:pt>
                <c:pt idx="4">
                  <c:v>135</c:v>
                </c:pt>
                <c:pt idx="5">
                  <c:v>300</c:v>
                </c:pt>
              </c:numCache>
            </c:numRef>
          </c:yVal>
          <c:smooth val="0"/>
        </c:ser>
        <c:ser>
          <c:idx val="3"/>
          <c:order val="3"/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#2-432'!$Y$10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#2-432'!$AC$10</c:f>
              <c:numCache>
                <c:formatCode>General</c:formatCode>
                <c:ptCount val="1"/>
                <c:pt idx="0">
                  <c:v>457.80349999999999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992640"/>
        <c:axId val="242994560"/>
      </c:scatterChart>
      <c:valAx>
        <c:axId val="24299264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2994560"/>
        <c:crosses val="autoZero"/>
        <c:crossBetween val="midCat"/>
      </c:valAx>
      <c:valAx>
        <c:axId val="24299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99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9.6907480314960631E-2"/>
                  <c:y val="1.1705307669874598E-3"/>
                </c:manualLayout>
              </c:layout>
              <c:numFmt formatCode="General" sourceLinked="0"/>
            </c:trendlineLbl>
          </c:trendline>
          <c:xVal>
            <c:numRef>
              <c:f>'SLC - 6in no wedge #2-253'!$T$59:$T$61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286400"/>
        <c:axId val="243287936"/>
      </c:scatterChart>
      <c:valAx>
        <c:axId val="24328640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43287936"/>
        <c:crosses val="autoZero"/>
        <c:crossBetween val="midCat"/>
      </c:valAx>
      <c:valAx>
        <c:axId val="243287936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43286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#2-433'!$Y$4:$Y$9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#2-433'!$Z$4:$Z$9</c:f>
              <c:numCache>
                <c:formatCode>General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7</c:v>
                </c:pt>
                <c:pt idx="3">
                  <c:v>22</c:v>
                </c:pt>
                <c:pt idx="4">
                  <c:v>45</c:v>
                </c:pt>
                <c:pt idx="5">
                  <c:v>110</c:v>
                </c:pt>
              </c:numCache>
            </c:numRef>
          </c:yVal>
          <c:smooth val="0"/>
        </c:ser>
        <c:ser>
          <c:idx val="2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#2-433'!$Y$10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#2-433'!$Z$10</c:f>
              <c:numCache>
                <c:formatCode>0</c:formatCode>
                <c:ptCount val="1"/>
                <c:pt idx="0">
                  <c:v>172.48400000000001</c:v>
                </c:pt>
              </c:numCache>
            </c:numRef>
          </c:yVal>
          <c:smooth val="0"/>
        </c:ser>
        <c:ser>
          <c:idx val="1"/>
          <c:order val="2"/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#2-433'!$Y$4:$Y$9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#2-433'!$AC$4:$AC$9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65</c:v>
                </c:pt>
                <c:pt idx="4">
                  <c:v>135</c:v>
                </c:pt>
                <c:pt idx="5">
                  <c:v>300</c:v>
                </c:pt>
              </c:numCache>
            </c:numRef>
          </c:yVal>
          <c:smooth val="0"/>
        </c:ser>
        <c:ser>
          <c:idx val="3"/>
          <c:order val="3"/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#2-433'!$Y$10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#2-433'!$AC$10</c:f>
              <c:numCache>
                <c:formatCode>General</c:formatCode>
                <c:ptCount val="1"/>
                <c:pt idx="0">
                  <c:v>457.80349999999999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34464"/>
        <c:axId val="250748928"/>
      </c:scatterChart>
      <c:valAx>
        <c:axId val="25073446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50748928"/>
        <c:crosses val="autoZero"/>
        <c:crossBetween val="midCat"/>
      </c:valAx>
      <c:valAx>
        <c:axId val="25074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734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9.6907480314960631E-2"/>
                  <c:y val="1.1705307669874598E-3"/>
                </c:manualLayout>
              </c:layout>
              <c:numFmt formatCode="General" sourceLinked="0"/>
            </c:trendlineLbl>
          </c:trendline>
          <c:xVal>
            <c:numRef>
              <c:f>'SLC - 6in no wedge #2-253'!$T$59:$T$61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86560"/>
        <c:axId val="250788096"/>
      </c:scatterChart>
      <c:valAx>
        <c:axId val="25078656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50788096"/>
        <c:crosses val="autoZero"/>
        <c:crossBetween val="midCat"/>
      </c:valAx>
      <c:valAx>
        <c:axId val="250788096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50786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70 shore A min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6in no wedge #2-253 WHAT IF'!$Y$39:$Y$44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6in no wedge #2-253 WHAT IF'!$Z$39:$Z$44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6in no wedge #2-253 WHAT IF'!$Y$45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6in no wedge #2-253 WHAT IF'!$Z$45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tx>
            <c:v>80 shore A max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6in no wedge #2-253 WHAT IF'!$Y$39:$Y$44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6in no wedge #2-253 WHAT IF'!$AC$39:$AC$44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tx>
            <c:v>80 shore A max, 50%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6in no wedge #2-253 WHAT IF'!$Y$45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6in no wedge #2-253 WHAT IF'!$AC$45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112960"/>
        <c:axId val="263179264"/>
      </c:scatterChart>
      <c:valAx>
        <c:axId val="26311296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63179264"/>
        <c:crosses val="autoZero"/>
        <c:crossBetween val="midCat"/>
      </c:valAx>
      <c:valAx>
        <c:axId val="26317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112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9.6907480314960631E-2"/>
                  <c:y val="1.1705307669874598E-3"/>
                </c:manualLayout>
              </c:layout>
              <c:numFmt formatCode="General" sourceLinked="0"/>
            </c:trendlineLbl>
          </c:trendline>
          <c:xVal>
            <c:numRef>
              <c:f>'SLC 6in no wedge #2-253 WHAT IF'!$T$59:$T$61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6in no wedge #2-253 WHAT IF'!$W$59:$W$61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1792"/>
        <c:axId val="234323328"/>
      </c:scatterChart>
      <c:valAx>
        <c:axId val="23432179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4323328"/>
        <c:crosses val="autoZero"/>
        <c:crossBetween val="midCat"/>
      </c:valAx>
      <c:valAx>
        <c:axId val="234323328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343217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'SLC - 6in no wedge #2-253'!$Y$10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#2-253'!$Z$10</c:f>
              <c:numCache>
                <c:formatCode>0</c:formatCode>
                <c:ptCount val="1"/>
                <c:pt idx="0">
                  <c:v>39.037499999999994</c:v>
                </c:pt>
              </c:numCache>
            </c:numRef>
          </c:yVal>
          <c:smooth val="0"/>
        </c:ser>
        <c:ser>
          <c:idx val="3"/>
          <c:order val="1"/>
          <c:tx>
            <c:v>80 shore A max, 50%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</c:spPr>
          </c:marker>
          <c:xVal>
            <c:numRef>
              <c:f>'SLC - 6in no wedge #2-253'!$Y$10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#2-253'!$AC$10</c:f>
              <c:numCache>
                <c:formatCode>General</c:formatCode>
                <c:ptCount val="1"/>
                <c:pt idx="0">
                  <c:v>287.21154999999999</c:v>
                </c:pt>
              </c:numCache>
            </c:numRef>
          </c:yVal>
          <c:smooth val="0"/>
        </c:ser>
        <c:ser>
          <c:idx val="0"/>
          <c:order val="2"/>
          <c:tx>
            <c:v>Parker data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#2-253'!$Y$4:$Y$9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#2-253'!$Z$4:$Z$9</c:f>
              <c:numCache>
                <c:formatCode>General</c:formatCode>
                <c:ptCount val="6"/>
                <c:pt idx="0">
                  <c:v>0</c:v>
                </c:pt>
                <c:pt idx="1">
                  <c:v>0.95</c:v>
                </c:pt>
                <c:pt idx="2">
                  <c:v>2</c:v>
                </c:pt>
                <c:pt idx="3">
                  <c:v>4.5</c:v>
                </c:pt>
                <c:pt idx="4">
                  <c:v>10</c:v>
                </c:pt>
                <c:pt idx="5">
                  <c:v>25</c:v>
                </c:pt>
              </c:numCache>
            </c:numRef>
          </c:yVal>
          <c:smooth val="0"/>
        </c:ser>
        <c:ser>
          <c:idx val="2"/>
          <c:order val="3"/>
          <c:tx>
            <c:v>Parker data, 80sA max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#2-253'!$Y$4:$Y$9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#2-253'!$AC$4:$AC$9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45</c:v>
                </c:pt>
                <c:pt idx="4">
                  <c:v>90</c:v>
                </c:pt>
                <c:pt idx="5">
                  <c:v>190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941504"/>
        <c:axId val="237943040"/>
      </c:scatterChart>
      <c:valAx>
        <c:axId val="2379415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7943040"/>
        <c:crosses val="autoZero"/>
        <c:crossBetween val="midCat"/>
      </c:valAx>
      <c:valAx>
        <c:axId val="237943040"/>
        <c:scaling>
          <c:orientation val="minMax"/>
          <c:max val="3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7941504"/>
        <c:crosses val="autoZero"/>
        <c:crossBetween val="midCat"/>
      </c:valAx>
    </c:plotArea>
    <c:legend>
      <c:legendPos val="r"/>
      <c:legendEntry>
        <c:idx val="5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70 shore A min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#2-253'!$Y$39:$Y$44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#2-253'!$Z$39:$Z$44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#2-253'!$Y$45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#2-253'!$Z$45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tx>
            <c:v>80 shore A max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#2-253'!$Y$39:$Y$44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#2-253'!$AC$39:$AC$44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tx>
            <c:v>80 shore A max, 50%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#2-253'!$Y$45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#2-253'!$AC$45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188800"/>
        <c:axId val="238203264"/>
      </c:scatterChart>
      <c:valAx>
        <c:axId val="23818880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8203264"/>
        <c:crosses val="autoZero"/>
        <c:crossBetween val="midCat"/>
      </c:valAx>
      <c:valAx>
        <c:axId val="23820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188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8.3018591426071736E-2"/>
                  <c:y val="1.5059419655876349E-2"/>
                </c:manualLayout>
              </c:layout>
              <c:numFmt formatCode="0.00E+00" sourceLinked="0"/>
            </c:trendlineLbl>
          </c:trendline>
          <c:xVal>
            <c:numRef>
              <c:f>'SLC - 6in no wedge #2-253'!$T$59:$T$61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21440"/>
        <c:axId val="238622976"/>
      </c:scatterChart>
      <c:valAx>
        <c:axId val="23862144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8622976"/>
        <c:crosses val="autoZero"/>
        <c:crossBetween val="midCat"/>
      </c:valAx>
      <c:valAx>
        <c:axId val="238622976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38621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'SLC - 6in no wedge #2-254'!$Y$10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#2-254'!$Z$10</c:f>
              <c:numCache>
                <c:formatCode>0</c:formatCode>
                <c:ptCount val="1"/>
                <c:pt idx="0">
                  <c:v>39.037499999999994</c:v>
                </c:pt>
              </c:numCache>
            </c:numRef>
          </c:yVal>
          <c:smooth val="0"/>
        </c:ser>
        <c:ser>
          <c:idx val="3"/>
          <c:order val="1"/>
          <c:tx>
            <c:v>80 shore A max, 50%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</c:spPr>
          </c:marker>
          <c:xVal>
            <c:numRef>
              <c:f>'SLC - 6in no wedge #2-254'!$Y$10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#2-254'!$AC$10</c:f>
              <c:numCache>
                <c:formatCode>General</c:formatCode>
                <c:ptCount val="1"/>
                <c:pt idx="0">
                  <c:v>287.21154999999999</c:v>
                </c:pt>
              </c:numCache>
            </c:numRef>
          </c:yVal>
          <c:smooth val="0"/>
        </c:ser>
        <c:ser>
          <c:idx val="0"/>
          <c:order val="2"/>
          <c:tx>
            <c:v>Parker data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#2-254'!$Y$4:$Y$9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#2-254'!$Z$4:$Z$9</c:f>
              <c:numCache>
                <c:formatCode>General</c:formatCode>
                <c:ptCount val="6"/>
                <c:pt idx="0">
                  <c:v>0</c:v>
                </c:pt>
                <c:pt idx="1">
                  <c:v>0.95</c:v>
                </c:pt>
                <c:pt idx="2">
                  <c:v>2</c:v>
                </c:pt>
                <c:pt idx="3">
                  <c:v>4.5</c:v>
                </c:pt>
                <c:pt idx="4">
                  <c:v>10</c:v>
                </c:pt>
                <c:pt idx="5">
                  <c:v>25</c:v>
                </c:pt>
              </c:numCache>
            </c:numRef>
          </c:yVal>
          <c:smooth val="0"/>
        </c:ser>
        <c:ser>
          <c:idx val="2"/>
          <c:order val="3"/>
          <c:tx>
            <c:v>Parker data, 80sA max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#2-254'!$Y$4:$Y$9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#2-254'!$AC$4:$AC$9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45</c:v>
                </c:pt>
                <c:pt idx="4">
                  <c:v>90</c:v>
                </c:pt>
                <c:pt idx="5">
                  <c:v>190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65088"/>
        <c:axId val="238888064"/>
      </c:scatterChart>
      <c:valAx>
        <c:axId val="2386650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8888064"/>
        <c:crosses val="autoZero"/>
        <c:crossBetween val="midCat"/>
      </c:valAx>
      <c:valAx>
        <c:axId val="238888064"/>
        <c:scaling>
          <c:orientation val="minMax"/>
          <c:max val="3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8665088"/>
        <c:crosses val="autoZero"/>
        <c:crossBetween val="midCat"/>
      </c:valAx>
    </c:plotArea>
    <c:legend>
      <c:legendPos val="r"/>
      <c:legendEntry>
        <c:idx val="5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70 shore A min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#2-254'!$Y$39:$Y$44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#2-254'!$Z$39:$Z$44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#2-254'!$Y$45:$Y$45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#2-254'!$Z$45:$Z$45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tx>
            <c:v>80 shore A max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'SLC - 6in no wedge #2-254'!$Y$39:$Y$44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#2-254'!$AC$39:$AC$44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tx>
            <c:v>80 shore A max, 50%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#2-254'!$Y$45:$Y$45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#2-254'!$AC$45:$AC$45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16736"/>
        <c:axId val="238918656"/>
      </c:scatterChart>
      <c:valAx>
        <c:axId val="238916736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8918656"/>
        <c:crosses val="autoZero"/>
        <c:crossBetween val="midCat"/>
      </c:valAx>
      <c:valAx>
        <c:axId val="23891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916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9.6907480314960631E-2"/>
                  <c:y val="1.1705307669874598E-3"/>
                </c:manualLayout>
              </c:layout>
              <c:numFmt formatCode="General" sourceLinked="0"/>
            </c:trendlineLbl>
          </c:trendline>
          <c:xVal>
            <c:numRef>
              <c:f>'SLC - 6in no wedge #2-253'!$T$59:$T$61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#2-253'!$W$59:$W$61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35424"/>
        <c:axId val="238949504"/>
      </c:scatterChart>
      <c:valAx>
        <c:axId val="23893542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8949504"/>
        <c:crosses val="autoZero"/>
        <c:crossBetween val="midCat"/>
      </c:valAx>
      <c:valAx>
        <c:axId val="238949504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238935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8.xml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0.xml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chart" Target="../charts/chart14.xml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chart" Target="../charts/chart16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246530</xdr:colOff>
      <xdr:row>0</xdr:row>
      <xdr:rowOff>209548</xdr:rowOff>
    </xdr:from>
    <xdr:to>
      <xdr:col>41</xdr:col>
      <xdr:colOff>168088</xdr:colOff>
      <xdr:row>28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371475</xdr:colOff>
      <xdr:row>54</xdr:row>
      <xdr:rowOff>180975</xdr:rowOff>
    </xdr:from>
    <xdr:to>
      <xdr:col>17</xdr:col>
      <xdr:colOff>104352</xdr:colOff>
      <xdr:row>71</xdr:row>
      <xdr:rowOff>171022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06400" y="1069657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115</xdr:row>
      <xdr:rowOff>133350</xdr:rowOff>
    </xdr:from>
    <xdr:to>
      <xdr:col>9</xdr:col>
      <xdr:colOff>142443</xdr:colOff>
      <xdr:row>132</xdr:row>
      <xdr:rowOff>142469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22860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133</xdr:row>
      <xdr:rowOff>104775</xdr:rowOff>
    </xdr:from>
    <xdr:to>
      <xdr:col>9</xdr:col>
      <xdr:colOff>199588</xdr:colOff>
      <xdr:row>151</xdr:row>
      <xdr:rowOff>66251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0075" y="26260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70338</xdr:rowOff>
    </xdr:from>
    <xdr:to>
      <xdr:col>6</xdr:col>
      <xdr:colOff>688978</xdr:colOff>
      <xdr:row>171</xdr:row>
      <xdr:rowOff>40648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511488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3573555</xdr:colOff>
      <xdr:row>0</xdr:row>
      <xdr:rowOff>151279</xdr:rowOff>
    </xdr:from>
    <xdr:to>
      <xdr:col>20</xdr:col>
      <xdr:colOff>692852</xdr:colOff>
      <xdr:row>27</xdr:row>
      <xdr:rowOff>189517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2005" y="151279"/>
          <a:ext cx="8692172" cy="5391288"/>
        </a:xfrm>
        <a:prstGeom prst="rect">
          <a:avLst/>
        </a:prstGeom>
      </xdr:spPr>
    </xdr:pic>
    <xdr:clientData/>
  </xdr:twoCellAnchor>
  <xdr:twoCellAnchor>
    <xdr:from>
      <xdr:col>29</xdr:col>
      <xdr:colOff>274542</xdr:colOff>
      <xdr:row>36</xdr:row>
      <xdr:rowOff>40341</xdr:rowOff>
    </xdr:from>
    <xdr:to>
      <xdr:col>41</xdr:col>
      <xdr:colOff>134469</xdr:colOff>
      <xdr:row>58</xdr:row>
      <xdr:rowOff>89647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>
    <xdr:from>
      <xdr:col>19</xdr:col>
      <xdr:colOff>166687</xdr:colOff>
      <xdr:row>64</xdr:row>
      <xdr:rowOff>23812</xdr:rowOff>
    </xdr:from>
    <xdr:to>
      <xdr:col>24</xdr:col>
      <xdr:colOff>338137</xdr:colOff>
      <xdr:row>78</xdr:row>
      <xdr:rowOff>90487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246530</xdr:colOff>
      <xdr:row>0</xdr:row>
      <xdr:rowOff>209548</xdr:rowOff>
    </xdr:from>
    <xdr:to>
      <xdr:col>41</xdr:col>
      <xdr:colOff>168088</xdr:colOff>
      <xdr:row>28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371475</xdr:colOff>
      <xdr:row>55</xdr:row>
      <xdr:rowOff>180975</xdr:rowOff>
    </xdr:from>
    <xdr:to>
      <xdr:col>17</xdr:col>
      <xdr:colOff>104352</xdr:colOff>
      <xdr:row>72</xdr:row>
      <xdr:rowOff>171022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06400" y="1069657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117</xdr:row>
      <xdr:rowOff>133350</xdr:rowOff>
    </xdr:from>
    <xdr:to>
      <xdr:col>9</xdr:col>
      <xdr:colOff>142443</xdr:colOff>
      <xdr:row>134</xdr:row>
      <xdr:rowOff>142469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22479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135</xdr:row>
      <xdr:rowOff>104775</xdr:rowOff>
    </xdr:from>
    <xdr:to>
      <xdr:col>9</xdr:col>
      <xdr:colOff>199588</xdr:colOff>
      <xdr:row>153</xdr:row>
      <xdr:rowOff>66250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0075" y="25879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70338</xdr:rowOff>
    </xdr:from>
    <xdr:to>
      <xdr:col>6</xdr:col>
      <xdr:colOff>688978</xdr:colOff>
      <xdr:row>173</xdr:row>
      <xdr:rowOff>40647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130488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3573555</xdr:colOff>
      <xdr:row>0</xdr:row>
      <xdr:rowOff>151279</xdr:rowOff>
    </xdr:from>
    <xdr:to>
      <xdr:col>20</xdr:col>
      <xdr:colOff>692852</xdr:colOff>
      <xdr:row>26</xdr:row>
      <xdr:rowOff>7299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2005" y="151279"/>
          <a:ext cx="8692172" cy="5391288"/>
        </a:xfrm>
        <a:prstGeom prst="rect">
          <a:avLst/>
        </a:prstGeom>
      </xdr:spPr>
    </xdr:pic>
    <xdr:clientData/>
  </xdr:twoCellAnchor>
  <xdr:twoCellAnchor>
    <xdr:from>
      <xdr:col>29</xdr:col>
      <xdr:colOff>274542</xdr:colOff>
      <xdr:row>36</xdr:row>
      <xdr:rowOff>40341</xdr:rowOff>
    </xdr:from>
    <xdr:to>
      <xdr:col>41</xdr:col>
      <xdr:colOff>134469</xdr:colOff>
      <xdr:row>58</xdr:row>
      <xdr:rowOff>89647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174581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>
    <xdr:from>
      <xdr:col>19</xdr:col>
      <xdr:colOff>166687</xdr:colOff>
      <xdr:row>64</xdr:row>
      <xdr:rowOff>23812</xdr:rowOff>
    </xdr:from>
    <xdr:to>
      <xdr:col>24</xdr:col>
      <xdr:colOff>338137</xdr:colOff>
      <xdr:row>78</xdr:row>
      <xdr:rowOff>90487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246530</xdr:colOff>
      <xdr:row>0</xdr:row>
      <xdr:rowOff>209548</xdr:rowOff>
    </xdr:from>
    <xdr:to>
      <xdr:col>41</xdr:col>
      <xdr:colOff>168088</xdr:colOff>
      <xdr:row>28</xdr:row>
      <xdr:rowOff>190499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92</xdr:row>
      <xdr:rowOff>381000</xdr:rowOff>
    </xdr:from>
    <xdr:to>
      <xdr:col>12</xdr:col>
      <xdr:colOff>404390</xdr:colOff>
      <xdr:row>109</xdr:row>
      <xdr:rowOff>190072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8438" y="18073688"/>
          <a:ext cx="3404765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115</xdr:row>
      <xdr:rowOff>133350</xdr:rowOff>
    </xdr:from>
    <xdr:to>
      <xdr:col>9</xdr:col>
      <xdr:colOff>142443</xdr:colOff>
      <xdr:row>132</xdr:row>
      <xdr:rowOff>142469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163449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133</xdr:row>
      <xdr:rowOff>104775</xdr:rowOff>
    </xdr:from>
    <xdr:to>
      <xdr:col>9</xdr:col>
      <xdr:colOff>199588</xdr:colOff>
      <xdr:row>151</xdr:row>
      <xdr:rowOff>66251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0075" y="197453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70338</xdr:rowOff>
    </xdr:from>
    <xdr:to>
      <xdr:col>6</xdr:col>
      <xdr:colOff>688978</xdr:colOff>
      <xdr:row>171</xdr:row>
      <xdr:rowOff>40648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481288"/>
          <a:ext cx="7334066" cy="89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3573555</xdr:colOff>
      <xdr:row>0</xdr:row>
      <xdr:rowOff>151279</xdr:rowOff>
    </xdr:from>
    <xdr:to>
      <xdr:col>19</xdr:col>
      <xdr:colOff>174930</xdr:colOff>
      <xdr:row>27</xdr:row>
      <xdr:rowOff>179992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4490" y="151279"/>
          <a:ext cx="8718831" cy="5370996"/>
        </a:xfrm>
        <a:prstGeom prst="rect">
          <a:avLst/>
        </a:prstGeom>
      </xdr:spPr>
    </xdr:pic>
    <xdr:clientData/>
  </xdr:twoCellAnchor>
  <xdr:twoCellAnchor>
    <xdr:from>
      <xdr:col>29</xdr:col>
      <xdr:colOff>274542</xdr:colOff>
      <xdr:row>36</xdr:row>
      <xdr:rowOff>40341</xdr:rowOff>
    </xdr:from>
    <xdr:to>
      <xdr:col>41</xdr:col>
      <xdr:colOff>134469</xdr:colOff>
      <xdr:row>58</xdr:row>
      <xdr:rowOff>89647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16</xdr:col>
      <xdr:colOff>702078</xdr:colOff>
      <xdr:row>53</xdr:row>
      <xdr:rowOff>161329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23</xdr:col>
      <xdr:colOff>488674</xdr:colOff>
      <xdr:row>78</xdr:row>
      <xdr:rowOff>67917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1619250</xdr:colOff>
      <xdr:row>96</xdr:row>
      <xdr:rowOff>142875</xdr:rowOff>
    </xdr:from>
    <xdr:to>
      <xdr:col>9</xdr:col>
      <xdr:colOff>142452</xdr:colOff>
      <xdr:row>114</xdr:row>
      <xdr:rowOff>142447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905952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117</xdr:row>
      <xdr:rowOff>133350</xdr:rowOff>
    </xdr:from>
    <xdr:to>
      <xdr:col>9</xdr:col>
      <xdr:colOff>142443</xdr:colOff>
      <xdr:row>134</xdr:row>
      <xdr:rowOff>142469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30505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135</xdr:row>
      <xdr:rowOff>104775</xdr:rowOff>
    </xdr:from>
    <xdr:to>
      <xdr:col>9</xdr:col>
      <xdr:colOff>199588</xdr:colOff>
      <xdr:row>153</xdr:row>
      <xdr:rowOff>66251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0075" y="264509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84</xdr:row>
      <xdr:rowOff>79863</xdr:rowOff>
    </xdr:from>
    <xdr:to>
      <xdr:col>20</xdr:col>
      <xdr:colOff>660403</xdr:colOff>
      <xdr:row>129</xdr:row>
      <xdr:rowOff>50173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4300" y="16329513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0</xdr:row>
      <xdr:rowOff>36978</xdr:rowOff>
    </xdr:from>
    <xdr:to>
      <xdr:col>20</xdr:col>
      <xdr:colOff>787773</xdr:colOff>
      <xdr:row>27</xdr:row>
      <xdr:rowOff>33880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07731" y="36978"/>
          <a:ext cx="8701367" cy="5349952"/>
        </a:xfrm>
        <a:prstGeom prst="rect">
          <a:avLst/>
        </a:prstGeom>
      </xdr:spPr>
    </xdr:pic>
    <xdr:clientData/>
  </xdr:twoCellAnchor>
  <xdr:twoCellAnchor>
    <xdr:from>
      <xdr:col>23</xdr:col>
      <xdr:colOff>93567</xdr:colOff>
      <xdr:row>11</xdr:row>
      <xdr:rowOff>97491</xdr:rowOff>
    </xdr:from>
    <xdr:to>
      <xdr:col>33</xdr:col>
      <xdr:colOff>86844</xdr:colOff>
      <xdr:row>33</xdr:row>
      <xdr:rowOff>137272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24</xdr:col>
      <xdr:colOff>294032</xdr:colOff>
      <xdr:row>78</xdr:row>
      <xdr:rowOff>66675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1619250</xdr:colOff>
      <xdr:row>96</xdr:row>
      <xdr:rowOff>142875</xdr:rowOff>
    </xdr:from>
    <xdr:to>
      <xdr:col>9</xdr:col>
      <xdr:colOff>142452</xdr:colOff>
      <xdr:row>114</xdr:row>
      <xdr:rowOff>142447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848802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117</xdr:row>
      <xdr:rowOff>133350</xdr:rowOff>
    </xdr:from>
    <xdr:to>
      <xdr:col>9</xdr:col>
      <xdr:colOff>142443</xdr:colOff>
      <xdr:row>134</xdr:row>
      <xdr:rowOff>142469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2479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135</xdr:row>
      <xdr:rowOff>104775</xdr:rowOff>
    </xdr:from>
    <xdr:to>
      <xdr:col>9</xdr:col>
      <xdr:colOff>199588</xdr:colOff>
      <xdr:row>153</xdr:row>
      <xdr:rowOff>66251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0075" y="25879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84</xdr:row>
      <xdr:rowOff>79863</xdr:rowOff>
    </xdr:from>
    <xdr:to>
      <xdr:col>20</xdr:col>
      <xdr:colOff>660403</xdr:colOff>
      <xdr:row>129</xdr:row>
      <xdr:rowOff>50173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4300" y="16329513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0</xdr:row>
      <xdr:rowOff>36978</xdr:rowOff>
    </xdr:from>
    <xdr:to>
      <xdr:col>20</xdr:col>
      <xdr:colOff>787773</xdr:colOff>
      <xdr:row>27</xdr:row>
      <xdr:rowOff>33880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07731" y="36978"/>
          <a:ext cx="8701367" cy="5349952"/>
        </a:xfrm>
        <a:prstGeom prst="rect">
          <a:avLst/>
        </a:prstGeom>
      </xdr:spPr>
    </xdr:pic>
    <xdr:clientData/>
  </xdr:twoCellAnchor>
  <xdr:twoCellAnchor>
    <xdr:from>
      <xdr:col>23</xdr:col>
      <xdr:colOff>93567</xdr:colOff>
      <xdr:row>11</xdr:row>
      <xdr:rowOff>97491</xdr:rowOff>
    </xdr:from>
    <xdr:to>
      <xdr:col>33</xdr:col>
      <xdr:colOff>86844</xdr:colOff>
      <xdr:row>33</xdr:row>
      <xdr:rowOff>137272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1619250</xdr:colOff>
      <xdr:row>96</xdr:row>
      <xdr:rowOff>142875</xdr:rowOff>
    </xdr:from>
    <xdr:to>
      <xdr:col>9</xdr:col>
      <xdr:colOff>142452</xdr:colOff>
      <xdr:row>114</xdr:row>
      <xdr:rowOff>142447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848802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117</xdr:row>
      <xdr:rowOff>133350</xdr:rowOff>
    </xdr:from>
    <xdr:to>
      <xdr:col>9</xdr:col>
      <xdr:colOff>142443</xdr:colOff>
      <xdr:row>134</xdr:row>
      <xdr:rowOff>142469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2098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135</xdr:row>
      <xdr:rowOff>104775</xdr:rowOff>
    </xdr:from>
    <xdr:to>
      <xdr:col>9</xdr:col>
      <xdr:colOff>199588</xdr:colOff>
      <xdr:row>153</xdr:row>
      <xdr:rowOff>66251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0075" y="25498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84</xdr:row>
      <xdr:rowOff>79863</xdr:rowOff>
    </xdr:from>
    <xdr:to>
      <xdr:col>20</xdr:col>
      <xdr:colOff>660403</xdr:colOff>
      <xdr:row>129</xdr:row>
      <xdr:rowOff>50173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4300" y="16329513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0</xdr:row>
      <xdr:rowOff>36978</xdr:rowOff>
    </xdr:from>
    <xdr:to>
      <xdr:col>20</xdr:col>
      <xdr:colOff>787773</xdr:colOff>
      <xdr:row>27</xdr:row>
      <xdr:rowOff>33880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07731" y="36978"/>
          <a:ext cx="8701367" cy="5349952"/>
        </a:xfrm>
        <a:prstGeom prst="rect">
          <a:avLst/>
        </a:prstGeom>
      </xdr:spPr>
    </xdr:pic>
    <xdr:clientData/>
  </xdr:twoCellAnchor>
  <xdr:twoCellAnchor>
    <xdr:from>
      <xdr:col>23</xdr:col>
      <xdr:colOff>93567</xdr:colOff>
      <xdr:row>11</xdr:row>
      <xdr:rowOff>97491</xdr:rowOff>
    </xdr:from>
    <xdr:to>
      <xdr:col>33</xdr:col>
      <xdr:colOff>86844</xdr:colOff>
      <xdr:row>33</xdr:row>
      <xdr:rowOff>137272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1619250</xdr:colOff>
      <xdr:row>96</xdr:row>
      <xdr:rowOff>142875</xdr:rowOff>
    </xdr:from>
    <xdr:to>
      <xdr:col>9</xdr:col>
      <xdr:colOff>142452</xdr:colOff>
      <xdr:row>114</xdr:row>
      <xdr:rowOff>142447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905952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115</xdr:row>
      <xdr:rowOff>133350</xdr:rowOff>
    </xdr:from>
    <xdr:to>
      <xdr:col>9</xdr:col>
      <xdr:colOff>142443</xdr:colOff>
      <xdr:row>132</xdr:row>
      <xdr:rowOff>142469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26695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133</xdr:row>
      <xdr:rowOff>104775</xdr:rowOff>
    </xdr:from>
    <xdr:to>
      <xdr:col>9</xdr:col>
      <xdr:colOff>199588</xdr:colOff>
      <xdr:row>151</xdr:row>
      <xdr:rowOff>66251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0075" y="260699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70338</xdr:rowOff>
    </xdr:from>
    <xdr:to>
      <xdr:col>6</xdr:col>
      <xdr:colOff>688978</xdr:colOff>
      <xdr:row>171</xdr:row>
      <xdr:rowOff>40648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20988"/>
          <a:ext cx="7337428" cy="8923810"/>
        </a:xfrm>
        <a:prstGeom prst="rect">
          <a:avLst/>
        </a:prstGeom>
      </xdr:spPr>
    </xdr:pic>
    <xdr:clientData/>
  </xdr:twoCellAnchor>
  <xdr:twoCellAnchor>
    <xdr:from>
      <xdr:col>23</xdr:col>
      <xdr:colOff>93567</xdr:colOff>
      <xdr:row>11</xdr:row>
      <xdr:rowOff>97491</xdr:rowOff>
    </xdr:from>
    <xdr:to>
      <xdr:col>33</xdr:col>
      <xdr:colOff>86844</xdr:colOff>
      <xdr:row>33</xdr:row>
      <xdr:rowOff>137272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28575</xdr:rowOff>
    </xdr:from>
    <xdr:to>
      <xdr:col>21</xdr:col>
      <xdr:colOff>104775</xdr:colOff>
      <xdr:row>27</xdr:row>
      <xdr:rowOff>184999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25100" y="28575"/>
          <a:ext cx="8896350" cy="5509474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24</xdr:col>
      <xdr:colOff>589307</xdr:colOff>
      <xdr:row>78</xdr:row>
      <xdr:rowOff>66675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1619250</xdr:colOff>
      <xdr:row>96</xdr:row>
      <xdr:rowOff>142875</xdr:rowOff>
    </xdr:from>
    <xdr:to>
      <xdr:col>9</xdr:col>
      <xdr:colOff>142452</xdr:colOff>
      <xdr:row>114</xdr:row>
      <xdr:rowOff>142447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848802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6</xdr:col>
      <xdr:colOff>1552575</xdr:colOff>
      <xdr:row>115</xdr:row>
      <xdr:rowOff>133350</xdr:rowOff>
    </xdr:from>
    <xdr:to>
      <xdr:col>9</xdr:col>
      <xdr:colOff>142443</xdr:colOff>
      <xdr:row>132</xdr:row>
      <xdr:rowOff>142469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2098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133</xdr:row>
      <xdr:rowOff>104775</xdr:rowOff>
    </xdr:from>
    <xdr:to>
      <xdr:col>9</xdr:col>
      <xdr:colOff>199588</xdr:colOff>
      <xdr:row>151</xdr:row>
      <xdr:rowOff>66251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0075" y="25498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70338</xdr:rowOff>
    </xdr:from>
    <xdr:to>
      <xdr:col>6</xdr:col>
      <xdr:colOff>688978</xdr:colOff>
      <xdr:row>171</xdr:row>
      <xdr:rowOff>40648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749488"/>
          <a:ext cx="7337428" cy="8923810"/>
        </a:xfrm>
        <a:prstGeom prst="rect">
          <a:avLst/>
        </a:prstGeom>
      </xdr:spPr>
    </xdr:pic>
    <xdr:clientData/>
  </xdr:twoCellAnchor>
  <xdr:twoCellAnchor>
    <xdr:from>
      <xdr:col>23</xdr:col>
      <xdr:colOff>93567</xdr:colOff>
      <xdr:row>11</xdr:row>
      <xdr:rowOff>97491</xdr:rowOff>
    </xdr:from>
    <xdr:to>
      <xdr:col>33</xdr:col>
      <xdr:colOff>86844</xdr:colOff>
      <xdr:row>33</xdr:row>
      <xdr:rowOff>137272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9525</xdr:colOff>
      <xdr:row>28</xdr:row>
      <xdr:rowOff>171450</xdr:rowOff>
    </xdr:from>
    <xdr:to>
      <xdr:col>17</xdr:col>
      <xdr:colOff>94859</xdr:colOff>
      <xdr:row>53</xdr:row>
      <xdr:rowOff>161329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28575</xdr:rowOff>
    </xdr:from>
    <xdr:to>
      <xdr:col>21</xdr:col>
      <xdr:colOff>104775</xdr:colOff>
      <xdr:row>27</xdr:row>
      <xdr:rowOff>184999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25100" y="28575"/>
          <a:ext cx="8896350" cy="5509474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24</xdr:col>
      <xdr:colOff>303557</xdr:colOff>
      <xdr:row>78</xdr:row>
      <xdr:rowOff>66675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0"/>
  <sheetViews>
    <sheetView tabSelected="1" topLeftCell="A2" zoomScaleNormal="100" workbookViewId="0">
      <selection activeCell="R25" sqref="R25:S26"/>
    </sheetView>
  </sheetViews>
  <sheetFormatPr defaultRowHeight="14.4" x14ac:dyDescent="0.3"/>
  <cols>
    <col min="1" max="1" width="12" customWidth="1"/>
    <col min="2" max="2" width="7.109375" customWidth="1"/>
    <col min="3" max="3" width="13" customWidth="1"/>
    <col min="4" max="4" width="7.5546875" style="3" customWidth="1"/>
    <col min="5" max="9" width="6.109375" style="3" customWidth="1"/>
    <col min="10" max="11" width="6.109375" style="18" customWidth="1"/>
    <col min="12" max="12" width="6.6640625" style="18" customWidth="1"/>
    <col min="13" max="14" width="8.33203125" style="8" customWidth="1"/>
    <col min="15" max="15" width="8" style="18" customWidth="1"/>
    <col min="16" max="16" width="8.33203125" style="18" customWidth="1"/>
    <col min="17" max="17" width="17.6640625" style="18" customWidth="1"/>
    <col min="18" max="18" width="40.109375" customWidth="1"/>
  </cols>
  <sheetData>
    <row r="1" spans="1:18" ht="41.25" x14ac:dyDescent="0.8">
      <c r="A1" s="59" t="s">
        <v>212</v>
      </c>
    </row>
    <row r="2" spans="1:18" ht="15" x14ac:dyDescent="0.25">
      <c r="B2" s="22"/>
      <c r="C2" s="22"/>
      <c r="D2" s="23"/>
      <c r="E2" s="38"/>
      <c r="F2" s="23"/>
      <c r="G2" s="23"/>
      <c r="H2" s="38"/>
      <c r="I2" s="38"/>
      <c r="J2" s="48"/>
      <c r="K2" s="48"/>
      <c r="L2" s="48"/>
      <c r="M2" s="53"/>
      <c r="N2" s="53"/>
      <c r="O2" s="34"/>
      <c r="P2" s="34"/>
      <c r="Q2" s="34"/>
    </row>
    <row r="4" spans="1:18" ht="30" customHeight="1" x14ac:dyDescent="0.25">
      <c r="A4" s="68" t="s">
        <v>169</v>
      </c>
      <c r="B4" s="68"/>
      <c r="C4" s="68"/>
      <c r="D4" s="69" t="s">
        <v>12</v>
      </c>
      <c r="E4" s="69"/>
      <c r="F4" s="69"/>
      <c r="G4" s="69" t="s">
        <v>11</v>
      </c>
      <c r="H4" s="69"/>
      <c r="I4" s="69"/>
      <c r="J4" s="79" t="s">
        <v>200</v>
      </c>
      <c r="K4" s="80"/>
      <c r="L4" s="81"/>
      <c r="M4" s="77" t="s">
        <v>209</v>
      </c>
      <c r="N4" s="78"/>
      <c r="O4" s="70" t="s">
        <v>184</v>
      </c>
      <c r="P4" s="70"/>
      <c r="Q4" s="37"/>
      <c r="R4" s="1"/>
    </row>
    <row r="5" spans="1:18" ht="30" x14ac:dyDescent="0.25">
      <c r="A5" s="29" t="s">
        <v>170</v>
      </c>
      <c r="B5" s="29" t="s">
        <v>172</v>
      </c>
      <c r="C5" s="30" t="s">
        <v>171</v>
      </c>
      <c r="D5" s="35" t="s">
        <v>181</v>
      </c>
      <c r="E5" s="35" t="s">
        <v>182</v>
      </c>
      <c r="F5" s="35" t="s">
        <v>183</v>
      </c>
      <c r="G5" s="35" t="s">
        <v>181</v>
      </c>
      <c r="H5" s="35" t="s">
        <v>182</v>
      </c>
      <c r="I5" s="35" t="s">
        <v>183</v>
      </c>
      <c r="J5" s="36" t="s">
        <v>181</v>
      </c>
      <c r="K5" s="36" t="s">
        <v>182</v>
      </c>
      <c r="L5" s="36" t="s">
        <v>183</v>
      </c>
      <c r="M5" s="54" t="s">
        <v>182</v>
      </c>
      <c r="N5" s="54" t="s">
        <v>183</v>
      </c>
      <c r="O5" s="36" t="s">
        <v>172</v>
      </c>
      <c r="P5" s="36" t="s">
        <v>185</v>
      </c>
      <c r="Q5" s="36" t="s">
        <v>186</v>
      </c>
      <c r="R5" s="29" t="s">
        <v>173</v>
      </c>
    </row>
    <row r="6" spans="1:18" ht="15" x14ac:dyDescent="0.25">
      <c r="A6" s="5" t="s">
        <v>191</v>
      </c>
      <c r="B6" s="5"/>
      <c r="C6" s="5"/>
      <c r="D6" s="39">
        <v>0.5</v>
      </c>
      <c r="E6" s="39"/>
      <c r="F6" s="39"/>
      <c r="G6" s="39">
        <v>0.75</v>
      </c>
      <c r="H6" s="39"/>
      <c r="I6" s="39"/>
      <c r="J6" s="40"/>
      <c r="K6" s="40"/>
      <c r="L6" s="40"/>
      <c r="M6" s="55"/>
      <c r="N6" s="55"/>
      <c r="O6" s="40"/>
      <c r="P6" s="40"/>
      <c r="Q6" s="40"/>
      <c r="R6" s="47" t="s">
        <v>198</v>
      </c>
    </row>
    <row r="7" spans="1:18" x14ac:dyDescent="0.3">
      <c r="A7" s="5" t="s">
        <v>190</v>
      </c>
      <c r="B7" s="5"/>
      <c r="C7" s="5"/>
      <c r="D7" s="39"/>
      <c r="E7" s="41" t="s">
        <v>189</v>
      </c>
      <c r="F7" s="39"/>
      <c r="G7" s="39"/>
      <c r="H7" s="41" t="s">
        <v>188</v>
      </c>
      <c r="I7" s="41" t="s">
        <v>187</v>
      </c>
      <c r="J7" s="49"/>
      <c r="K7" s="40" t="s">
        <v>201</v>
      </c>
      <c r="L7" s="40" t="s">
        <v>202</v>
      </c>
      <c r="M7" s="55"/>
      <c r="N7" s="55"/>
      <c r="O7" s="40"/>
      <c r="P7" s="40" t="s">
        <v>193</v>
      </c>
      <c r="Q7" s="40" t="s">
        <v>192</v>
      </c>
      <c r="R7" s="29"/>
    </row>
    <row r="8" spans="1:18" x14ac:dyDescent="0.3">
      <c r="A8" s="5" t="s">
        <v>197</v>
      </c>
      <c r="B8" s="5">
        <v>5.234</v>
      </c>
      <c r="C8" s="71">
        <v>0.13900000000000001</v>
      </c>
      <c r="D8" s="74">
        <f>'SLC - 6in no wedge #2-254'!C71</f>
        <v>0.29496402877697836</v>
      </c>
      <c r="E8" s="74">
        <f>'SLC - 6in no wedge #2-254'!C72</f>
        <v>0.20143884892086322</v>
      </c>
      <c r="F8" s="74">
        <f>'SLC - 6in no wedge #2-254'!C73</f>
        <v>0.3884892086330935</v>
      </c>
      <c r="G8" s="74">
        <f>'SLC - 6in no wedge #2-254'!A52</f>
        <v>0.73735072473285224</v>
      </c>
      <c r="H8" s="74">
        <f>'SLC - 6in no wedge #2-254'!A50</f>
        <v>0.61406613161383505</v>
      </c>
      <c r="I8" s="74">
        <f>'SLC - 6in no wedge #2-254'!A51</f>
        <v>0.89975389598400102</v>
      </c>
      <c r="J8" s="71">
        <f>'SLC - 6in no wedge #2-433'!A74</f>
        <v>1.8000000000000016E-2</v>
      </c>
      <c r="K8" s="71">
        <f>'SLC - 6in no wedge #2-433'!A76</f>
        <v>5.0000000000000131E-3</v>
      </c>
      <c r="L8" s="71">
        <f>'SLC - 6in no wedge #2-433'!A75</f>
        <v>3.1000000000000021E-2</v>
      </c>
      <c r="M8" s="57">
        <f>'SLC - 6in no wedge #2-253'!$W$63*PI()*('SLC 6in no wedge summary'!B8+'SLC 6in no wedge summary'!C8:C10)</f>
        <v>1.4088511143818171E-6</v>
      </c>
      <c r="N8" s="57">
        <f>'SLC - 6in no wedge #2-253'!$W$62*PI()*('SLC 6in no wedge summary'!B8+'SLC 6in no wedge summary'!C8:C10)</f>
        <v>2.5342031340171918E-6</v>
      </c>
      <c r="O8" s="31">
        <f>B8</f>
        <v>5.234</v>
      </c>
      <c r="P8" s="31"/>
      <c r="Q8" s="43">
        <f>O8-2*0.05</f>
        <v>5.1340000000000003</v>
      </c>
      <c r="R8" s="44" t="s">
        <v>199</v>
      </c>
    </row>
    <row r="9" spans="1:18" x14ac:dyDescent="0.3">
      <c r="A9" s="50" t="s">
        <v>175</v>
      </c>
      <c r="B9" s="46">
        <v>5.359</v>
      </c>
      <c r="C9" s="72"/>
      <c r="D9" s="75"/>
      <c r="E9" s="75"/>
      <c r="F9" s="75"/>
      <c r="G9" s="75"/>
      <c r="H9" s="75"/>
      <c r="I9" s="75"/>
      <c r="J9" s="72"/>
      <c r="K9" s="72"/>
      <c r="L9" s="72"/>
      <c r="M9" s="57">
        <f>'SLC - 6in no wedge #2-253'!A35</f>
        <v>1.4416272895721628E-6</v>
      </c>
      <c r="N9" s="57">
        <f>'SLC - 6in no wedge #2-253'!A34</f>
        <v>2.593160028071193E-6</v>
      </c>
      <c r="O9" s="46">
        <f>'SLC - 6in no wedge #2-253'!A44</f>
        <v>5.3381499999999997</v>
      </c>
      <c r="P9" s="46">
        <f>'SLC - 6in no wedge #2-253'!A46</f>
        <v>5.8041499999999999</v>
      </c>
      <c r="Q9" s="46">
        <f>'SLC - 6in no wedge #2-253'!A22</f>
        <v>5.2381500000000001</v>
      </c>
      <c r="R9" s="5" t="s">
        <v>211</v>
      </c>
    </row>
    <row r="10" spans="1:18" x14ac:dyDescent="0.3">
      <c r="A10" s="5" t="s">
        <v>151</v>
      </c>
      <c r="B10" s="31">
        <v>5.484</v>
      </c>
      <c r="C10" s="73"/>
      <c r="D10" s="76"/>
      <c r="E10" s="76"/>
      <c r="F10" s="76"/>
      <c r="G10" s="76"/>
      <c r="H10" s="76"/>
      <c r="I10" s="76"/>
      <c r="J10" s="72"/>
      <c r="K10" s="72"/>
      <c r="L10" s="72"/>
      <c r="M10" s="57">
        <f>'SLC - 6in no wedge #2-254'!A35</f>
        <v>1.4713294728021764E-6</v>
      </c>
      <c r="N10" s="57">
        <f>'SLC - 6in no wedge #2-254'!A34</f>
        <v>2.9906426416658553E-6</v>
      </c>
      <c r="O10" s="31">
        <f>'SLC - 6in no wedge #2-254'!A42</f>
        <v>5.484</v>
      </c>
      <c r="P10" s="42">
        <f>'SLC - 6in no wedge #2-254'!A44</f>
        <v>5.9039999999999999</v>
      </c>
      <c r="Q10" s="31">
        <f>'SLC - 6in no wedge #2-254'!A22</f>
        <v>5.3840000000000003</v>
      </c>
      <c r="R10" s="33" t="s">
        <v>174</v>
      </c>
    </row>
    <row r="11" spans="1:18" x14ac:dyDescent="0.3">
      <c r="A11" s="5" t="s">
        <v>195</v>
      </c>
      <c r="B11" s="31">
        <v>5.2249999999999996</v>
      </c>
      <c r="C11" s="71">
        <v>0.21</v>
      </c>
      <c r="D11" s="74">
        <f>'SLC - 6in no wedge #2-357'!C71</f>
        <v>0.32857142857142846</v>
      </c>
      <c r="E11" s="74">
        <f>'SLC - 6in no wedge #2-357'!C72</f>
        <v>0.26666666666666655</v>
      </c>
      <c r="F11" s="74">
        <f>'SLC - 6in no wedge #2-357'!C73</f>
        <v>0.39047619047619037</v>
      </c>
      <c r="G11" s="74">
        <f>'SLC - 6in no wedge #2-357'!A52</f>
        <v>0.77982796365704077</v>
      </c>
      <c r="H11" s="74">
        <f>'SLC - 6in no wedge #2-357'!A50</f>
        <v>0.68040317082617496</v>
      </c>
      <c r="I11" s="74">
        <f>'SLC - 6in no wedge #2-357'!A51</f>
        <v>0.90042237358747623</v>
      </c>
      <c r="J11" s="72"/>
      <c r="K11" s="72"/>
      <c r="L11" s="72"/>
      <c r="M11" s="57">
        <f>'SLC - 6in no wedge #2-355'!A35</f>
        <v>1.4331897509118144E-6</v>
      </c>
      <c r="N11" s="57">
        <f>'SLC - 6in no wedge #2-355'!A34</f>
        <v>2.1770871252267152E-6</v>
      </c>
      <c r="O11" s="31">
        <f>B11</f>
        <v>5.2249999999999996</v>
      </c>
      <c r="P11" s="45">
        <f>'SLC - 6in no wedge #2-355'!A44</f>
        <v>5.8549999999999995</v>
      </c>
      <c r="Q11" s="43">
        <f>O11-2*0.05</f>
        <v>5.125</v>
      </c>
      <c r="R11" s="44" t="s">
        <v>199</v>
      </c>
    </row>
    <row r="12" spans="1:18" x14ac:dyDescent="0.3">
      <c r="A12" s="5" t="s">
        <v>177</v>
      </c>
      <c r="B12" s="31">
        <v>5.35</v>
      </c>
      <c r="C12" s="72"/>
      <c r="D12" s="75"/>
      <c r="E12" s="75"/>
      <c r="F12" s="75"/>
      <c r="G12" s="75"/>
      <c r="H12" s="75"/>
      <c r="I12" s="75"/>
      <c r="J12" s="72"/>
      <c r="K12" s="72"/>
      <c r="L12" s="72"/>
      <c r="M12" s="57">
        <f>'SLC - 6in no wedge #2-355'!$W$63*PI()*($B$12+$C$11)</f>
        <v>1.4661517967009546E-6</v>
      </c>
      <c r="N12" s="57">
        <f>'SLC - 6in no wedge #2-355'!$W$62*PI()*($B$12+$C$11)</f>
        <v>2.2271581262668878E-6</v>
      </c>
      <c r="O12" s="31">
        <f>'SLC - 6in no wedge #2-356'!A42</f>
        <v>5.35</v>
      </c>
      <c r="P12" s="42">
        <f>'SLC - 6in no wedge #2-356'!A44</f>
        <v>5.9799999999999995</v>
      </c>
      <c r="Q12" s="31">
        <f>'SLC - 6in no wedge #2-356'!A22</f>
        <v>5.25</v>
      </c>
      <c r="R12" s="33" t="s">
        <v>194</v>
      </c>
    </row>
    <row r="13" spans="1:18" x14ac:dyDescent="0.3">
      <c r="A13" s="5" t="s">
        <v>152</v>
      </c>
      <c r="B13" s="31">
        <v>5.4749999999999996</v>
      </c>
      <c r="C13" s="73"/>
      <c r="D13" s="76"/>
      <c r="E13" s="76"/>
      <c r="F13" s="76"/>
      <c r="G13" s="76"/>
      <c r="H13" s="76"/>
      <c r="I13" s="76"/>
      <c r="J13" s="72"/>
      <c r="K13" s="72"/>
      <c r="L13" s="72"/>
      <c r="M13" s="57">
        <f>'SLC - 6in no wedge #2-355'!$W$63*PI()*($B$13+$C$11)</f>
        <v>1.4991138424900947E-6</v>
      </c>
      <c r="N13" s="57">
        <f>'SLC - 6in no wedge #2-355'!$W$62*PI()*($B$13+$C$11)</f>
        <v>2.2772291273070607E-6</v>
      </c>
      <c r="O13" s="31">
        <f>'SLC - 6in no wedge #2-357'!A42</f>
        <v>5.4749999999999996</v>
      </c>
      <c r="P13" s="42">
        <f>'SLC - 6in no wedge #2-357'!A44</f>
        <v>6.1049999999999995</v>
      </c>
      <c r="Q13" s="31">
        <f>'SLC - 6in no wedge #2-357'!A22</f>
        <v>5.375</v>
      </c>
      <c r="R13" s="33" t="s">
        <v>194</v>
      </c>
    </row>
    <row r="14" spans="1:18" x14ac:dyDescent="0.3">
      <c r="A14" s="5" t="s">
        <v>196</v>
      </c>
      <c r="B14" s="31">
        <v>5.2249999999999996</v>
      </c>
      <c r="C14" s="71">
        <v>0.27500000000000002</v>
      </c>
      <c r="D14" s="74">
        <f>'SLC - 6in no wedge #2-433'!C71</f>
        <v>0.38181818181818183</v>
      </c>
      <c r="E14" s="74">
        <f>'SLC - 6in no wedge #2-433'!C72</f>
        <v>0.33454545454545453</v>
      </c>
      <c r="F14" s="74">
        <f>'SLC - 6in no wedge #2-433'!C73</f>
        <v>0.42909090909090908</v>
      </c>
      <c r="G14" s="74">
        <f>'SLC - 6in no wedge #2-433'!A52</f>
        <v>0.7940606431408026</v>
      </c>
      <c r="H14" s="74">
        <f>'SLC - 6in no wedge #2-433'!A50</f>
        <v>0.70581466097370538</v>
      </c>
      <c r="I14" s="74">
        <f>'SLC - 6in no wedge #2-433'!A51</f>
        <v>0.89773920642770588</v>
      </c>
      <c r="J14" s="72"/>
      <c r="K14" s="72"/>
      <c r="L14" s="72"/>
      <c r="M14" s="57">
        <f>'SLC - 6in no wedge #2-432'!W63*PI()*(B14+C14)</f>
        <v>1.292648832736971E-6</v>
      </c>
      <c r="N14" s="57">
        <f>'SLC - 6in no wedge #2-432'!W62*PI()*(B14+C14)</f>
        <v>1.6913063238449615E-6</v>
      </c>
      <c r="O14" s="31">
        <f>B14</f>
        <v>5.2249999999999996</v>
      </c>
      <c r="P14" s="45"/>
      <c r="Q14" s="43">
        <f>O14-2*0.05</f>
        <v>5.125</v>
      </c>
      <c r="R14" s="44" t="s">
        <v>199</v>
      </c>
    </row>
    <row r="15" spans="1:18" x14ac:dyDescent="0.3">
      <c r="A15" s="5" t="s">
        <v>176</v>
      </c>
      <c r="B15" s="31">
        <v>5.35</v>
      </c>
      <c r="C15" s="72"/>
      <c r="D15" s="75"/>
      <c r="E15" s="75"/>
      <c r="F15" s="75"/>
      <c r="G15" s="75"/>
      <c r="H15" s="75"/>
      <c r="I15" s="75"/>
      <c r="J15" s="72"/>
      <c r="K15" s="72"/>
      <c r="L15" s="72"/>
      <c r="M15" s="57">
        <f>'SLC - 6in no wedge #2-432'!A35</f>
        <v>1.3220272152991749E-6</v>
      </c>
      <c r="N15" s="57">
        <f>'SLC - 6in no wedge #2-432'!A34</f>
        <v>1.7297451039323471E-6</v>
      </c>
      <c r="O15" s="31">
        <f>B15</f>
        <v>5.35</v>
      </c>
      <c r="P15" s="42">
        <f>'SLC - 6in no wedge #2-432'!A44</f>
        <v>6.2299999999999995</v>
      </c>
      <c r="Q15" s="45">
        <f>O15-2*0.05</f>
        <v>5.25</v>
      </c>
      <c r="R15" s="5"/>
    </row>
    <row r="16" spans="1:18" x14ac:dyDescent="0.3">
      <c r="A16" s="5" t="s">
        <v>153</v>
      </c>
      <c r="B16" s="31">
        <v>5.4749999999999996</v>
      </c>
      <c r="C16" s="73"/>
      <c r="D16" s="76"/>
      <c r="E16" s="76"/>
      <c r="F16" s="76"/>
      <c r="G16" s="76"/>
      <c r="H16" s="76"/>
      <c r="I16" s="76"/>
      <c r="J16" s="73"/>
      <c r="K16" s="73"/>
      <c r="L16" s="73"/>
      <c r="M16" s="57">
        <f>'SLC - 6in no wedge #2-433'!A35</f>
        <v>1.3514055978613789E-6</v>
      </c>
      <c r="N16" s="57">
        <f>'SLC - 6in no wedge #2-433'!A34</f>
        <v>1.7681838840197325E-6</v>
      </c>
      <c r="O16" s="31">
        <f>'SLC - 6in no wedge #2-433'!A42</f>
        <v>5.4749999999999996</v>
      </c>
      <c r="P16" s="42">
        <f>'SLC - 6in no wedge #2-433'!A44</f>
        <v>6.3549999999999995</v>
      </c>
      <c r="Q16" s="31">
        <f>'SLC - 6in no wedge #2-433'!A22</f>
        <v>5.375</v>
      </c>
      <c r="R16" s="33" t="s">
        <v>194</v>
      </c>
    </row>
    <row r="18" spans="1:18" x14ac:dyDescent="0.3">
      <c r="A18" s="22" t="s">
        <v>213</v>
      </c>
    </row>
    <row r="19" spans="1:18" x14ac:dyDescent="0.3">
      <c r="A19" s="58" t="s">
        <v>214</v>
      </c>
    </row>
    <row r="20" spans="1:18" x14ac:dyDescent="0.3">
      <c r="A20" s="58" t="s">
        <v>210</v>
      </c>
    </row>
    <row r="21" spans="1:18" x14ac:dyDescent="0.3">
      <c r="A21" s="58" t="s">
        <v>225</v>
      </c>
      <c r="E21" s="10"/>
      <c r="H21" s="10"/>
    </row>
    <row r="22" spans="1:18" x14ac:dyDescent="0.3">
      <c r="C22" s="8"/>
    </row>
    <row r="23" spans="1:18" x14ac:dyDescent="0.3">
      <c r="A23">
        <v>0.02</v>
      </c>
      <c r="B23">
        <f>B24+A23</f>
        <v>0.77</v>
      </c>
      <c r="C23">
        <f>TAN(RADIANS(B23))*6</f>
        <v>8.0639066178494381E-2</v>
      </c>
      <c r="D23" s="10">
        <f>C23-C24</f>
        <v>2.0947636694838567E-3</v>
      </c>
    </row>
    <row r="24" spans="1:18" x14ac:dyDescent="0.3">
      <c r="B24">
        <v>0.75</v>
      </c>
      <c r="C24">
        <f>TAN(RADIANS(B24))*6</f>
        <v>7.8544302509010525E-2</v>
      </c>
    </row>
    <row r="25" spans="1:18" x14ac:dyDescent="0.3">
      <c r="A25">
        <v>-0.02</v>
      </c>
      <c r="B25">
        <f>B24+A25</f>
        <v>0.73</v>
      </c>
      <c r="C25">
        <f>TAN(RADIANS(B25))*6</f>
        <v>7.6449557983578498E-2</v>
      </c>
      <c r="D25" s="17">
        <f>C25-C24</f>
        <v>-2.0947445254320268E-3</v>
      </c>
      <c r="R25" s="10"/>
    </row>
    <row r="28" spans="1:18" x14ac:dyDescent="0.3">
      <c r="D28" s="10"/>
    </row>
    <row r="30" spans="1:18" x14ac:dyDescent="0.3">
      <c r="D30" s="17"/>
    </row>
  </sheetData>
  <mergeCells count="30">
    <mergeCell ref="I14:I16"/>
    <mergeCell ref="C14:C16"/>
    <mergeCell ref="D14:D16"/>
    <mergeCell ref="E14:E16"/>
    <mergeCell ref="F14:F16"/>
    <mergeCell ref="G14:G16"/>
    <mergeCell ref="I8:I10"/>
    <mergeCell ref="C11:C13"/>
    <mergeCell ref="D11:D13"/>
    <mergeCell ref="E11:E13"/>
    <mergeCell ref="F11:F13"/>
    <mergeCell ref="G11:G13"/>
    <mergeCell ref="H11:H13"/>
    <mergeCell ref="I11:I13"/>
    <mergeCell ref="A4:C4"/>
    <mergeCell ref="D4:F4"/>
    <mergeCell ref="G4:I4"/>
    <mergeCell ref="O4:P4"/>
    <mergeCell ref="C8:C10"/>
    <mergeCell ref="D8:D10"/>
    <mergeCell ref="E8:E10"/>
    <mergeCell ref="F8:F10"/>
    <mergeCell ref="G8:G10"/>
    <mergeCell ref="H8:H10"/>
    <mergeCell ref="L8:L16"/>
    <mergeCell ref="M4:N4"/>
    <mergeCell ref="J4:L4"/>
    <mergeCell ref="J8:J16"/>
    <mergeCell ref="K8:K16"/>
    <mergeCell ref="H14:H16"/>
  </mergeCells>
  <pageMargins left="0.25" right="0.25" top="0.75" bottom="0.75" header="0.3" footer="0.3"/>
  <pageSetup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A10" workbookViewId="0">
      <selection activeCell="H44" sqref="H44"/>
    </sheetView>
  </sheetViews>
  <sheetFormatPr defaultRowHeight="14.4" x14ac:dyDescent="0.3"/>
  <cols>
    <col min="8" max="8" width="63.6640625" customWidth="1"/>
    <col min="10" max="10" width="12.6640625" bestFit="1" customWidth="1"/>
  </cols>
  <sheetData>
    <row r="1" spans="1:8" x14ac:dyDescent="0.3">
      <c r="A1" s="1" t="s">
        <v>264</v>
      </c>
    </row>
    <row r="3" spans="1:8" ht="15" x14ac:dyDescent="0.25">
      <c r="A3" t="s">
        <v>230</v>
      </c>
    </row>
    <row r="4" spans="1:8" ht="15" x14ac:dyDescent="0.25">
      <c r="A4" t="s">
        <v>256</v>
      </c>
    </row>
    <row r="5" spans="1:8" ht="15" x14ac:dyDescent="0.25">
      <c r="A5" t="s">
        <v>227</v>
      </c>
    </row>
    <row r="6" spans="1:8" ht="15" x14ac:dyDescent="0.25">
      <c r="A6" t="s">
        <v>228</v>
      </c>
    </row>
    <row r="7" spans="1:8" ht="15" x14ac:dyDescent="0.25">
      <c r="A7" t="s">
        <v>229</v>
      </c>
    </row>
    <row r="9" spans="1:8" x14ac:dyDescent="0.3">
      <c r="A9" s="1" t="s">
        <v>1</v>
      </c>
      <c r="B9" s="15" t="s">
        <v>68</v>
      </c>
      <c r="C9" s="1" t="s">
        <v>2</v>
      </c>
      <c r="D9" s="1" t="s">
        <v>1</v>
      </c>
      <c r="E9" s="15" t="s">
        <v>68</v>
      </c>
      <c r="F9" s="1" t="s">
        <v>2</v>
      </c>
      <c r="G9" s="1" t="s">
        <v>233</v>
      </c>
      <c r="H9" s="1" t="s">
        <v>3</v>
      </c>
    </row>
    <row r="10" spans="1:8" ht="15" x14ac:dyDescent="0.25">
      <c r="A10">
        <v>5.359</v>
      </c>
      <c r="B10">
        <v>3.5000000000000003E-2</v>
      </c>
      <c r="C10" t="s">
        <v>9</v>
      </c>
      <c r="F10" t="s">
        <v>219</v>
      </c>
      <c r="G10" t="s">
        <v>248</v>
      </c>
      <c r="H10" t="s">
        <v>232</v>
      </c>
    </row>
    <row r="11" spans="1:8" ht="15" x14ac:dyDescent="0.25">
      <c r="A11">
        <f>A10+A14</f>
        <v>5.4980000000000002</v>
      </c>
      <c r="G11" t="s">
        <v>249</v>
      </c>
      <c r="H11" t="s">
        <v>245</v>
      </c>
    </row>
    <row r="12" spans="1:8" ht="15" x14ac:dyDescent="0.25">
      <c r="A12">
        <f>A10-B10+A14-B14</f>
        <v>5.4590000000000005</v>
      </c>
      <c r="H12" t="s">
        <v>246</v>
      </c>
    </row>
    <row r="13" spans="1:8" ht="15" x14ac:dyDescent="0.25">
      <c r="A13">
        <f>A10+B10+A14+B14</f>
        <v>5.5369999999999999</v>
      </c>
      <c r="H13" t="s">
        <v>247</v>
      </c>
    </row>
    <row r="14" spans="1:8" ht="15" x14ac:dyDescent="0.25">
      <c r="A14">
        <v>0.13900000000000001</v>
      </c>
      <c r="B14">
        <v>4.0000000000000001E-3</v>
      </c>
      <c r="C14" t="s">
        <v>9</v>
      </c>
      <c r="F14" t="s">
        <v>219</v>
      </c>
      <c r="G14" t="s">
        <v>231</v>
      </c>
      <c r="H14" t="s">
        <v>250</v>
      </c>
    </row>
    <row r="15" spans="1:8" ht="15" x14ac:dyDescent="0.25">
      <c r="A15">
        <f>A14-B14</f>
        <v>0.13500000000000001</v>
      </c>
      <c r="H15" t="s">
        <v>251</v>
      </c>
    </row>
    <row r="16" spans="1:8" ht="15" x14ac:dyDescent="0.25">
      <c r="A16">
        <f>A14+B14</f>
        <v>0.14300000000000002</v>
      </c>
      <c r="H16" t="s">
        <v>252</v>
      </c>
    </row>
    <row r="17" spans="1:10" ht="15" x14ac:dyDescent="0.25">
      <c r="A17">
        <f>PI()*A14^2/4</f>
        <v>1.5174677915002103E-2</v>
      </c>
      <c r="C17" t="s">
        <v>97</v>
      </c>
      <c r="F17" t="s">
        <v>240</v>
      </c>
      <c r="G17" t="s">
        <v>236</v>
      </c>
      <c r="H17" t="s">
        <v>237</v>
      </c>
    </row>
    <row r="18" spans="1:10" ht="15" x14ac:dyDescent="0.25">
      <c r="A18">
        <f>A17*PI()*A11</f>
        <v>0.26210426630767364</v>
      </c>
      <c r="C18" t="s">
        <v>239</v>
      </c>
      <c r="F18" t="s">
        <v>241</v>
      </c>
      <c r="G18" t="s">
        <v>238</v>
      </c>
      <c r="H18" t="s">
        <v>242</v>
      </c>
    </row>
    <row r="19" spans="1:10" ht="15" x14ac:dyDescent="0.25">
      <c r="A19">
        <f>2*PI()^2*A12*A15^2/8</f>
        <v>0.2454824140013977</v>
      </c>
      <c r="H19" t="s">
        <v>243</v>
      </c>
    </row>
    <row r="20" spans="1:10" ht="15" x14ac:dyDescent="0.25">
      <c r="A20">
        <f>2*PI()^2*A13*A16^2/8</f>
        <v>0.27937423579576032</v>
      </c>
      <c r="H20" t="s">
        <v>244</v>
      </c>
    </row>
    <row r="22" spans="1:10" ht="15" x14ac:dyDescent="0.25">
      <c r="B22" t="s">
        <v>257</v>
      </c>
    </row>
    <row r="23" spans="1:10" ht="15" x14ac:dyDescent="0.25">
      <c r="A23">
        <f>A10</f>
        <v>5.359</v>
      </c>
      <c r="C23" t="s">
        <v>9</v>
      </c>
      <c r="F23" t="s">
        <v>219</v>
      </c>
      <c r="G23" t="s">
        <v>234</v>
      </c>
      <c r="H23" t="s">
        <v>235</v>
      </c>
    </row>
    <row r="24" spans="1:10" ht="15" x14ac:dyDescent="0.25">
      <c r="A24">
        <v>0.13457414531678524</v>
      </c>
      <c r="C24" t="s">
        <v>9</v>
      </c>
      <c r="F24" t="s">
        <v>219</v>
      </c>
      <c r="G24" t="s">
        <v>253</v>
      </c>
      <c r="H24" t="s">
        <v>254</v>
      </c>
      <c r="J24">
        <f>A24^3+A$23*A24^2-A12*A15^2</f>
        <v>-5.4528467294256977E-7</v>
      </c>
    </row>
    <row r="25" spans="1:10" ht="15" x14ac:dyDescent="0.25">
      <c r="A25">
        <f>A15-A24</f>
        <v>4.2585468321476583E-4</v>
      </c>
      <c r="C25" t="s">
        <v>9</v>
      </c>
      <c r="F25" t="s">
        <v>219</v>
      </c>
      <c r="H25" t="s">
        <v>255</v>
      </c>
    </row>
    <row r="27" spans="1:10" x14ac:dyDescent="0.3">
      <c r="B27" t="s">
        <v>258</v>
      </c>
    </row>
    <row r="28" spans="1:10" x14ac:dyDescent="0.3">
      <c r="A28">
        <f>A10-0.15*A14</f>
        <v>5.3381499999999997</v>
      </c>
      <c r="C28" t="s">
        <v>9</v>
      </c>
      <c r="F28" t="s">
        <v>219</v>
      </c>
      <c r="G28" t="s">
        <v>234</v>
      </c>
      <c r="H28" t="s">
        <v>235</v>
      </c>
    </row>
    <row r="29" spans="1:10" x14ac:dyDescent="0.3">
      <c r="A29">
        <v>0.13482706413584084</v>
      </c>
      <c r="C29" t="s">
        <v>9</v>
      </c>
      <c r="F29" t="s">
        <v>219</v>
      </c>
      <c r="G29" t="s">
        <v>253</v>
      </c>
      <c r="H29" t="s">
        <v>254</v>
      </c>
      <c r="J29">
        <f>A29^3+A28*A29^2-A12*A15^2</f>
        <v>-6.5231171168800284E-7</v>
      </c>
    </row>
    <row r="30" spans="1:10" x14ac:dyDescent="0.3">
      <c r="A30">
        <f>A15-A29</f>
        <v>1.7293586415917384E-4</v>
      </c>
      <c r="C30" t="s">
        <v>9</v>
      </c>
      <c r="F30" t="s">
        <v>219</v>
      </c>
      <c r="H30" t="s">
        <v>259</v>
      </c>
    </row>
    <row r="32" spans="1:10" x14ac:dyDescent="0.3">
      <c r="A32" s="1" t="s">
        <v>263</v>
      </c>
    </row>
    <row r="33" spans="1:8" x14ac:dyDescent="0.3">
      <c r="A33" t="s">
        <v>265</v>
      </c>
    </row>
    <row r="34" spans="1:8" x14ac:dyDescent="0.3">
      <c r="B34" t="s">
        <v>257</v>
      </c>
    </row>
    <row r="35" spans="1:8" x14ac:dyDescent="0.3">
      <c r="A35" s="67">
        <v>0.72360000000000002</v>
      </c>
      <c r="G35" t="s">
        <v>266</v>
      </c>
      <c r="H35" t="s">
        <v>274</v>
      </c>
    </row>
    <row r="36" spans="1:8" x14ac:dyDescent="0.3">
      <c r="A36" s="17">
        <f>'SLC - 6in no wedge #2-253'!A76</f>
        <v>1.8000000000000016E-2</v>
      </c>
      <c r="C36" t="s">
        <v>9</v>
      </c>
      <c r="G36" t="s">
        <v>270</v>
      </c>
      <c r="H36" t="s">
        <v>269</v>
      </c>
    </row>
    <row r="37" spans="1:8" x14ac:dyDescent="0.3">
      <c r="A37" s="17">
        <f>'SLC - 6in no wedge #2-253'!A47</f>
        <v>7.1999999999999995E-2</v>
      </c>
      <c r="C37" t="s">
        <v>9</v>
      </c>
      <c r="G37" t="s">
        <v>223</v>
      </c>
      <c r="H37" t="s">
        <v>115</v>
      </c>
    </row>
    <row r="38" spans="1:8" x14ac:dyDescent="0.3">
      <c r="A38" s="17">
        <f>PI()*A14^2/(4*A35*(A36+A37))</f>
        <v>0.23301206797804341</v>
      </c>
      <c r="C38" t="s">
        <v>9</v>
      </c>
      <c r="G38" t="s">
        <v>271</v>
      </c>
      <c r="H38" t="s">
        <v>114</v>
      </c>
    </row>
    <row r="39" spans="1:8" x14ac:dyDescent="0.3">
      <c r="A39" s="17">
        <f>A38*(A36+A37)</f>
        <v>2.097108611802391E-2</v>
      </c>
      <c r="C39" t="s">
        <v>97</v>
      </c>
      <c r="G39" t="s">
        <v>272</v>
      </c>
      <c r="H39" t="s">
        <v>268</v>
      </c>
    </row>
    <row r="40" spans="1:8" x14ac:dyDescent="0.3">
      <c r="A40" s="17">
        <f>2*PI()^2*A11*A14^2/8</f>
        <v>0.26210426630767364</v>
      </c>
      <c r="C40" t="s">
        <v>239</v>
      </c>
      <c r="G40" t="s">
        <v>238</v>
      </c>
    </row>
    <row r="41" spans="1:8" x14ac:dyDescent="0.3">
      <c r="A41" s="17">
        <f>PI()*((A23+2*A38)^2-A23^2)/4*(A36+A37)</f>
        <v>0.36841635067182577</v>
      </c>
      <c r="C41" t="s">
        <v>239</v>
      </c>
      <c r="G41" t="s">
        <v>267</v>
      </c>
    </row>
    <row r="42" spans="1:8" x14ac:dyDescent="0.3">
      <c r="A42" s="67">
        <f>A40/A41</f>
        <v>0.71143494535384577</v>
      </c>
      <c r="G42" t="s">
        <v>273</v>
      </c>
      <c r="H42" t="s">
        <v>275</v>
      </c>
    </row>
    <row r="43" spans="1:8" x14ac:dyDescent="0.3">
      <c r="A43" s="67">
        <f>A35-A42</f>
        <v>1.216505464615425E-2</v>
      </c>
      <c r="H43" t="s">
        <v>276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1"/>
  <sheetViews>
    <sheetView workbookViewId="0">
      <selection activeCell="A22" sqref="A22"/>
    </sheetView>
  </sheetViews>
  <sheetFormatPr defaultRowHeight="14.4" x14ac:dyDescent="0.3"/>
  <cols>
    <col min="4" max="4" width="35.5546875" customWidth="1"/>
    <col min="5" max="5" width="34.33203125" customWidth="1"/>
  </cols>
  <sheetData>
    <row r="6" spans="1:5" x14ac:dyDescent="0.3">
      <c r="A6">
        <f>5/16</f>
        <v>0.3125</v>
      </c>
      <c r="B6" t="s">
        <v>9</v>
      </c>
      <c r="C6" t="s">
        <v>280</v>
      </c>
      <c r="D6" t="s">
        <v>281</v>
      </c>
    </row>
    <row r="7" spans="1:5" x14ac:dyDescent="0.3">
      <c r="A7">
        <v>24</v>
      </c>
      <c r="C7" t="s">
        <v>285</v>
      </c>
      <c r="D7" t="s">
        <v>284</v>
      </c>
    </row>
    <row r="8" spans="1:5" x14ac:dyDescent="0.3">
      <c r="A8" s="10">
        <f>1/A7</f>
        <v>4.1666666666666664E-2</v>
      </c>
      <c r="B8" t="s">
        <v>282</v>
      </c>
      <c r="C8" t="s">
        <v>283</v>
      </c>
      <c r="D8" t="s">
        <v>286</v>
      </c>
    </row>
    <row r="9" spans="1:5" x14ac:dyDescent="0.3">
      <c r="A9">
        <v>5.8000000000000003E-2</v>
      </c>
      <c r="B9" t="s">
        <v>97</v>
      </c>
      <c r="C9" t="s">
        <v>279</v>
      </c>
      <c r="D9" t="s">
        <v>94</v>
      </c>
    </row>
    <row r="10" spans="1:5" x14ac:dyDescent="0.3">
      <c r="A10">
        <f>(2*A9)/(0.5*PI()*(A6-0.64952*A8))</f>
        <v>0.258719016225337</v>
      </c>
      <c r="B10" t="s">
        <v>9</v>
      </c>
      <c r="C10" t="s">
        <v>277</v>
      </c>
      <c r="D10" t="s">
        <v>278</v>
      </c>
      <c r="E10" t="s">
        <v>287</v>
      </c>
    </row>
    <row r="12" spans="1:5" x14ac:dyDescent="0.3">
      <c r="A12">
        <f>A6</f>
        <v>0.3125</v>
      </c>
      <c r="D12" t="s">
        <v>288</v>
      </c>
    </row>
    <row r="13" spans="1:5" x14ac:dyDescent="0.3">
      <c r="A13">
        <f>1.5*A6</f>
        <v>0.46875</v>
      </c>
      <c r="D13" t="s">
        <v>289</v>
      </c>
    </row>
    <row r="16" spans="1:5" x14ac:dyDescent="0.3">
      <c r="A16">
        <f>3/16</f>
        <v>0.1875</v>
      </c>
    </row>
    <row r="17" spans="1:1" x14ac:dyDescent="0.3">
      <c r="A17">
        <f>5/32</f>
        <v>0.15625</v>
      </c>
    </row>
    <row r="18" spans="1:1" x14ac:dyDescent="0.3">
      <c r="A18">
        <f>1/8</f>
        <v>0.125</v>
      </c>
    </row>
    <row r="19" spans="1:1" x14ac:dyDescent="0.3">
      <c r="A19">
        <f>11/64</f>
        <v>0.171875</v>
      </c>
    </row>
    <row r="20" spans="1:1" x14ac:dyDescent="0.3">
      <c r="A20">
        <f>0.14*64</f>
        <v>8.9600000000000009</v>
      </c>
    </row>
    <row r="21" spans="1:1" x14ac:dyDescent="0.3">
      <c r="A21">
        <f>9/64</f>
        <v>0.140625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"/>
  <sheetViews>
    <sheetView zoomScale="85" zoomScaleNormal="85" workbookViewId="0">
      <selection activeCell="R66" sqref="R66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7" customWidth="1"/>
    <col min="23" max="23" width="17.3320312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73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>
        <v>0</v>
      </c>
      <c r="AB4" s="5">
        <v>0</v>
      </c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G5" t="s">
        <v>166</v>
      </c>
      <c r="Y5" s="6">
        <v>0.05</v>
      </c>
      <c r="Z5" s="5">
        <v>0.95</v>
      </c>
      <c r="AA5" s="5">
        <v>6</v>
      </c>
      <c r="AB5" s="5">
        <v>2.5</v>
      </c>
      <c r="AC5" s="5">
        <v>10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2</v>
      </c>
      <c r="AA6" s="5">
        <v>15</v>
      </c>
      <c r="AB6" s="5">
        <v>4.5</v>
      </c>
      <c r="AC6" s="5">
        <v>20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4.5</v>
      </c>
      <c r="AA7" s="5">
        <v>30</v>
      </c>
      <c r="AB7" s="5">
        <v>9</v>
      </c>
      <c r="AC7" s="5">
        <v>45</v>
      </c>
    </row>
    <row r="8" spans="1:29" ht="15" x14ac:dyDescent="0.25">
      <c r="A8" s="11">
        <v>5.2</v>
      </c>
      <c r="C8" t="s">
        <v>9</v>
      </c>
      <c r="F8" t="s">
        <v>4</v>
      </c>
      <c r="G8" t="s">
        <v>166</v>
      </c>
      <c r="Y8" s="6">
        <v>0.3</v>
      </c>
      <c r="Z8" s="5">
        <v>10</v>
      </c>
      <c r="AA8" s="5">
        <v>70</v>
      </c>
      <c r="AB8" s="5">
        <v>20</v>
      </c>
      <c r="AC8" s="5">
        <v>90</v>
      </c>
    </row>
    <row r="9" spans="1:29" ht="15" x14ac:dyDescent="0.25">
      <c r="A9">
        <v>0.75</v>
      </c>
      <c r="B9" s="60">
        <v>1E-3</v>
      </c>
      <c r="C9" t="s">
        <v>9</v>
      </c>
      <c r="F9" t="s">
        <v>49</v>
      </c>
      <c r="G9" s="60" t="s">
        <v>215</v>
      </c>
      <c r="Y9" s="6">
        <v>0.4</v>
      </c>
      <c r="Z9" s="5">
        <v>25</v>
      </c>
      <c r="AA9" s="5">
        <v>116</v>
      </c>
      <c r="AB9" s="5">
        <v>40</v>
      </c>
      <c r="AC9" s="5">
        <v>190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185.23*Y10^2-14.54*Y10</f>
        <v>39.037499999999994</v>
      </c>
      <c r="AA10" s="5"/>
      <c r="AB10" s="5"/>
      <c r="AC10" s="5">
        <f>1159.2*Y10^2-5.1769*Y10</f>
        <v>287.21154999999999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5.2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ht="15" x14ac:dyDescent="0.25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ht="15" x14ac:dyDescent="0.25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ht="15" x14ac:dyDescent="0.25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5.2590000000000003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63">
        <v>0.38400000000000001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175</v>
      </c>
      <c r="C28" t="s">
        <v>8</v>
      </c>
      <c r="F28" t="s">
        <v>7</v>
      </c>
    </row>
    <row r="29" spans="1:7" x14ac:dyDescent="0.3">
      <c r="A29">
        <v>5.359</v>
      </c>
      <c r="B29">
        <v>3.5000000000000003E-2</v>
      </c>
      <c r="C29" t="s">
        <v>9</v>
      </c>
      <c r="F29" t="s">
        <v>25</v>
      </c>
    </row>
    <row r="30" spans="1:7" x14ac:dyDescent="0.3">
      <c r="A30">
        <v>0.13900000000000001</v>
      </c>
      <c r="B30">
        <v>4.0000000000000001E-3</v>
      </c>
      <c r="C30" t="s">
        <v>9</v>
      </c>
      <c r="F30" t="s">
        <v>5</v>
      </c>
    </row>
    <row r="31" spans="1:7" x14ac:dyDescent="0.3">
      <c r="A31">
        <f>A29+A30</f>
        <v>5.4980000000000002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29" x14ac:dyDescent="0.3">
      <c r="A33" s="3">
        <v>0.5</v>
      </c>
      <c r="C33" t="s">
        <v>8</v>
      </c>
      <c r="F33" t="s">
        <v>144</v>
      </c>
      <c r="G33" t="s">
        <v>43</v>
      </c>
    </row>
    <row r="34" spans="1:29" x14ac:dyDescent="0.3">
      <c r="A34" s="8">
        <f>W62*PI()*A31</f>
        <v>1.2611757903099041E-6</v>
      </c>
      <c r="C34" t="s">
        <v>32</v>
      </c>
      <c r="F34" t="s">
        <v>204</v>
      </c>
    </row>
    <row r="35" spans="1:29" x14ac:dyDescent="0.3">
      <c r="A35" s="8">
        <f>W63*PI()*A31</f>
        <v>1.1040146316669363E-6</v>
      </c>
      <c r="C35" t="s">
        <v>32</v>
      </c>
      <c r="F35" t="s">
        <v>203</v>
      </c>
    </row>
    <row r="36" spans="1:29" x14ac:dyDescent="0.3">
      <c r="A36" s="4">
        <f>(AC10+Z10)/2</f>
        <v>163.12452500000001</v>
      </c>
      <c r="B36" s="4">
        <f>(AC10-Z10)/2</f>
        <v>124.087025</v>
      </c>
      <c r="C36" t="s">
        <v>38</v>
      </c>
      <c r="F36" t="s">
        <v>35</v>
      </c>
      <c r="Y36" t="s">
        <v>79</v>
      </c>
    </row>
    <row r="37" spans="1:29" x14ac:dyDescent="0.3">
      <c r="A37" s="4">
        <f>A36*PI()*($A29+$A30)</f>
        <v>2817.5645098630644</v>
      </c>
      <c r="B37" s="4">
        <f>B36*PI()*($A29+$A30)</f>
        <v>2143.2902120296799</v>
      </c>
      <c r="C37" t="s">
        <v>39</v>
      </c>
      <c r="F37" t="s">
        <v>36</v>
      </c>
      <c r="Z37" s="5" t="s">
        <v>69</v>
      </c>
      <c r="AA37" s="5" t="s">
        <v>69</v>
      </c>
      <c r="AB37" s="5" t="s">
        <v>71</v>
      </c>
      <c r="AC37" s="5" t="s">
        <v>71</v>
      </c>
    </row>
    <row r="38" spans="1:29" x14ac:dyDescent="0.3">
      <c r="A38" s="25">
        <f>A37-B37</f>
        <v>674.27429783338448</v>
      </c>
      <c r="B38" s="4"/>
      <c r="C38" t="s">
        <v>39</v>
      </c>
      <c r="F38" t="s">
        <v>80</v>
      </c>
      <c r="Y38" s="5" t="s">
        <v>12</v>
      </c>
      <c r="Z38" s="5" t="s">
        <v>70</v>
      </c>
      <c r="AA38" s="5" t="s">
        <v>72</v>
      </c>
      <c r="AB38" s="5" t="s">
        <v>70</v>
      </c>
      <c r="AC38" s="5" t="s">
        <v>72</v>
      </c>
    </row>
    <row r="39" spans="1:29" x14ac:dyDescent="0.3">
      <c r="A39" s="25">
        <f>A37+B37</f>
        <v>4960.8547218927442</v>
      </c>
      <c r="B39" s="4"/>
      <c r="C39" t="s">
        <v>39</v>
      </c>
      <c r="F39" t="s">
        <v>81</v>
      </c>
      <c r="Y39" s="6">
        <v>0</v>
      </c>
      <c r="Z39" s="5">
        <v>0</v>
      </c>
      <c r="AA39" s="5"/>
      <c r="AB39" s="5"/>
      <c r="AC39" s="5">
        <v>0</v>
      </c>
    </row>
    <row r="40" spans="1:29" x14ac:dyDescent="0.3">
      <c r="A40" s="18">
        <v>3.1E-2</v>
      </c>
      <c r="B40" s="4"/>
      <c r="C40" t="s">
        <v>9</v>
      </c>
      <c r="F40" t="s">
        <v>132</v>
      </c>
      <c r="G40" t="s">
        <v>134</v>
      </c>
      <c r="H40" s="3">
        <f>A43/0.164-1</f>
        <v>0.55487804878048785</v>
      </c>
      <c r="I40" t="s">
        <v>150</v>
      </c>
      <c r="Y40" s="6">
        <v>0.05</v>
      </c>
      <c r="Z40" s="5">
        <v>3</v>
      </c>
      <c r="AA40" s="5"/>
      <c r="AB40" s="5"/>
      <c r="AC40" s="5">
        <v>15</v>
      </c>
    </row>
    <row r="41" spans="1:29" ht="15.6" x14ac:dyDescent="0.3">
      <c r="A41" s="4"/>
      <c r="B41" s="4"/>
      <c r="F41" s="14" t="s">
        <v>112</v>
      </c>
      <c r="Y41" s="6">
        <v>0.1</v>
      </c>
      <c r="Z41" s="5">
        <v>7</v>
      </c>
      <c r="AA41" s="5"/>
      <c r="AB41" s="5"/>
      <c r="AC41" s="5">
        <v>28</v>
      </c>
    </row>
    <row r="42" spans="1:29" x14ac:dyDescent="0.3">
      <c r="A42" s="18">
        <f>A29</f>
        <v>5.359</v>
      </c>
      <c r="B42">
        <v>1E-3</v>
      </c>
      <c r="F42" t="s">
        <v>113</v>
      </c>
      <c r="G42" t="s">
        <v>136</v>
      </c>
      <c r="Y42" s="6">
        <v>0.2</v>
      </c>
      <c r="Z42" s="5">
        <v>16</v>
      </c>
      <c r="AA42" s="5"/>
      <c r="AB42" s="5"/>
      <c r="AC42" s="5">
        <v>55</v>
      </c>
    </row>
    <row r="43" spans="1:29" x14ac:dyDescent="0.3">
      <c r="A43" s="19">
        <v>0.255</v>
      </c>
      <c r="B43">
        <v>1E-3</v>
      </c>
      <c r="F43" t="s">
        <v>149</v>
      </c>
      <c r="G43" t="s">
        <v>136</v>
      </c>
      <c r="Y43" s="6">
        <v>0.3</v>
      </c>
      <c r="Z43" s="5">
        <v>35</v>
      </c>
      <c r="AA43" s="5"/>
      <c r="AB43" s="5"/>
      <c r="AC43" s="5">
        <v>100</v>
      </c>
    </row>
    <row r="44" spans="1:29" x14ac:dyDescent="0.3">
      <c r="A44" s="20">
        <f>A42+2*A43</f>
        <v>5.8689999999999998</v>
      </c>
      <c r="F44" t="s">
        <v>135</v>
      </c>
      <c r="G44" s="13"/>
      <c r="Y44" s="6">
        <v>0.4</v>
      </c>
      <c r="Z44" s="5">
        <v>68</v>
      </c>
      <c r="AA44" s="5"/>
      <c r="AB44" s="5"/>
      <c r="AC44" s="5">
        <v>250</v>
      </c>
    </row>
    <row r="45" spans="1:29" x14ac:dyDescent="0.3">
      <c r="A45" s="19">
        <v>6.5000000000000002E-2</v>
      </c>
      <c r="B45">
        <v>1E-3</v>
      </c>
      <c r="F45" t="s">
        <v>115</v>
      </c>
      <c r="G45" t="s">
        <v>136</v>
      </c>
      <c r="Y45" s="6">
        <v>0.5</v>
      </c>
      <c r="Z45" s="7">
        <f>409.85*Y45^2+2.36*Y45</f>
        <v>103.64250000000001</v>
      </c>
      <c r="AA45" s="5"/>
      <c r="AB45" s="5"/>
      <c r="AC45" s="5">
        <f>1621*Y45^2-58.678*Y45</f>
        <v>375.911</v>
      </c>
    </row>
    <row r="46" spans="1:29" x14ac:dyDescent="0.3">
      <c r="A46" s="20">
        <f>A43*(A45+A76)</f>
        <v>1.7850000000000001E-2</v>
      </c>
      <c r="C46" t="s">
        <v>97</v>
      </c>
      <c r="F46" t="s">
        <v>137</v>
      </c>
    </row>
    <row r="47" spans="1:29" x14ac:dyDescent="0.3">
      <c r="A47" s="20">
        <f>A43*(A45+A75)</f>
        <v>1.9890000000000005E-2</v>
      </c>
      <c r="C47" t="s">
        <v>97</v>
      </c>
      <c r="F47" t="s">
        <v>138</v>
      </c>
    </row>
    <row r="48" spans="1:29" x14ac:dyDescent="0.3">
      <c r="A48" s="20">
        <f>A43*(A45+A74)</f>
        <v>1.8870000000000001E-2</v>
      </c>
      <c r="C48" t="s">
        <v>97</v>
      </c>
      <c r="F48" t="s">
        <v>139</v>
      </c>
    </row>
    <row r="49" spans="1:23" x14ac:dyDescent="0.3">
      <c r="A49" s="3">
        <v>0.75</v>
      </c>
      <c r="C49" t="s">
        <v>8</v>
      </c>
      <c r="F49" t="s">
        <v>143</v>
      </c>
      <c r="G49" t="s">
        <v>145</v>
      </c>
      <c r="J49">
        <f>0.5-I50</f>
        <v>0.47382139034407472</v>
      </c>
    </row>
    <row r="50" spans="1:23" x14ac:dyDescent="0.3">
      <c r="A50" s="21">
        <f>PI()*(A30-B30)^2/4/A47</f>
        <v>0.7196521632940418</v>
      </c>
      <c r="F50" t="s">
        <v>140</v>
      </c>
      <c r="H50">
        <f>SIN(PI()/180)*3</f>
        <v>5.2357219311850535E-2</v>
      </c>
      <c r="I50">
        <f>H50/2</f>
        <v>2.6178609655925267E-2</v>
      </c>
    </row>
    <row r="51" spans="1:23" x14ac:dyDescent="0.3">
      <c r="A51" s="21">
        <f>PI()*(A30+B30)^2/4/A46</f>
        <v>0.89975389598400124</v>
      </c>
      <c r="F51" t="s">
        <v>141</v>
      </c>
      <c r="J51">
        <f>(5.798-5.482)/2</f>
        <v>0.15799999999999992</v>
      </c>
    </row>
    <row r="52" spans="1:23" x14ac:dyDescent="0.3">
      <c r="A52" s="21">
        <f>PI()*(A30)^2/4/A48</f>
        <v>0.80416947085331758</v>
      </c>
      <c r="F52" t="s">
        <v>142</v>
      </c>
      <c r="J52">
        <f>J51/3</f>
        <v>5.2666666666666639E-2</v>
      </c>
    </row>
    <row r="53" spans="1:23" ht="15.6" x14ac:dyDescent="0.3">
      <c r="F53" s="14" t="s">
        <v>82</v>
      </c>
      <c r="J53">
        <f>(5.482-5.38)/2</f>
        <v>5.1000000000000156E-2</v>
      </c>
    </row>
    <row r="54" spans="1:23" x14ac:dyDescent="0.3">
      <c r="A54" t="s">
        <v>84</v>
      </c>
      <c r="F54" t="s">
        <v>83</v>
      </c>
    </row>
    <row r="55" spans="1:23" x14ac:dyDescent="0.3">
      <c r="A55">
        <v>5.99</v>
      </c>
      <c r="F55" t="s">
        <v>89</v>
      </c>
    </row>
    <row r="56" spans="1:23" x14ac:dyDescent="0.3">
      <c r="A56">
        <f>5.38+0.05</f>
        <v>5.43</v>
      </c>
      <c r="C56" t="s">
        <v>9</v>
      </c>
      <c r="F56" t="s">
        <v>90</v>
      </c>
    </row>
    <row r="57" spans="1:23" x14ac:dyDescent="0.3">
      <c r="A57">
        <f>A55-A56</f>
        <v>0.5600000000000005</v>
      </c>
      <c r="C57" t="s">
        <v>9</v>
      </c>
      <c r="F57" t="s">
        <v>85</v>
      </c>
    </row>
    <row r="58" spans="1:23" ht="28.8" x14ac:dyDescent="0.3">
      <c r="A58">
        <f>(A55+A56)/2</f>
        <v>5.71</v>
      </c>
      <c r="C58" t="s">
        <v>9</v>
      </c>
      <c r="F58" t="s">
        <v>91</v>
      </c>
      <c r="G58" t="s">
        <v>93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v>0.125</v>
      </c>
      <c r="B59">
        <v>1E-3</v>
      </c>
      <c r="C59" t="s">
        <v>9</v>
      </c>
      <c r="F59" t="s">
        <v>88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 s="8">
        <v>500000</v>
      </c>
      <c r="C60" t="s">
        <v>26</v>
      </c>
      <c r="F60" t="s">
        <v>86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8">
        <f>A59*A39/(PI()*((A56/2+A57)^2-(A56/2)^2))/A60</f>
        <v>1.1768789514518233E-4</v>
      </c>
      <c r="C61" t="s">
        <v>9</v>
      </c>
      <c r="F61" t="s">
        <v>87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ht="15.6" x14ac:dyDescent="0.3">
      <c r="A62" s="8"/>
      <c r="F62" s="14" t="s">
        <v>104</v>
      </c>
      <c r="S62" s="5" t="s">
        <v>182</v>
      </c>
      <c r="T62" s="6">
        <f>C72</f>
        <v>0.43884892086330929</v>
      </c>
      <c r="U62" s="5"/>
      <c r="V62" s="5"/>
      <c r="W62" s="5">
        <f>0.00000003*T62^-1.08</f>
        <v>7.3016500958766424E-8</v>
      </c>
    </row>
    <row r="63" spans="1:23" x14ac:dyDescent="0.3">
      <c r="A63" s="17"/>
      <c r="B63" s="17">
        <f>B19</f>
        <v>1E-3</v>
      </c>
      <c r="C63" t="s">
        <v>9</v>
      </c>
      <c r="F63" t="s">
        <v>105</v>
      </c>
      <c r="S63" s="5" t="s">
        <v>183</v>
      </c>
      <c r="T63" s="6">
        <f>C73</f>
        <v>0.49640287769784175</v>
      </c>
      <c r="U63" s="5"/>
      <c r="V63" s="5"/>
      <c r="W63" s="5">
        <f>0.00000003*T63^-1.08</f>
        <v>6.3917564887439447E-8</v>
      </c>
    </row>
    <row r="64" spans="1:23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1.1768789514518233E-4</v>
      </c>
      <c r="C67" t="s">
        <v>9</v>
      </c>
      <c r="F67" t="s">
        <v>123</v>
      </c>
    </row>
    <row r="68" spans="1:6" x14ac:dyDescent="0.3">
      <c r="A68" s="17"/>
      <c r="B68" s="17">
        <f>B30</f>
        <v>4.0000000000000001E-3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1E-3</v>
      </c>
      <c r="C69" t="s">
        <v>9</v>
      </c>
      <c r="F69" t="s">
        <v>109</v>
      </c>
    </row>
    <row r="70" spans="1:6" x14ac:dyDescent="0.3">
      <c r="A70" s="17"/>
      <c r="B70" s="17">
        <f>SUM(B63:B69)</f>
        <v>9.117687895145183E-3</v>
      </c>
      <c r="C70" t="s">
        <v>9</v>
      </c>
      <c r="F70" t="s">
        <v>110</v>
      </c>
    </row>
    <row r="71" spans="1:6" x14ac:dyDescent="0.3">
      <c r="A71" s="18">
        <f>A30-A45-A74</f>
        <v>6.5000000000000002E-2</v>
      </c>
      <c r="B71" s="17"/>
      <c r="C71" s="21">
        <f>A71/A30</f>
        <v>0.46762589928057552</v>
      </c>
      <c r="F71" t="s">
        <v>146</v>
      </c>
    </row>
    <row r="72" spans="1:6" x14ac:dyDescent="0.3">
      <c r="A72" s="18">
        <f>A30-A45-A75</f>
        <v>6.0999999999999999E-2</v>
      </c>
      <c r="B72" s="17"/>
      <c r="C72" s="21">
        <f>A72/A30</f>
        <v>0.43884892086330929</v>
      </c>
      <c r="F72" t="s">
        <v>147</v>
      </c>
    </row>
    <row r="73" spans="1:6" x14ac:dyDescent="0.3">
      <c r="A73" s="17">
        <f>A30-A45-A76</f>
        <v>6.9000000000000006E-2</v>
      </c>
      <c r="B73" s="17"/>
      <c r="C73" s="21">
        <f>A73/A30</f>
        <v>0.49640287769784175</v>
      </c>
      <c r="F73" t="s">
        <v>148</v>
      </c>
    </row>
    <row r="74" spans="1:6" x14ac:dyDescent="0.3">
      <c r="A74" s="61">
        <f>A19+A25-A59-A9</f>
        <v>9.000000000000008E-3</v>
      </c>
      <c r="C74" t="s">
        <v>9</v>
      </c>
      <c r="F74" t="s">
        <v>130</v>
      </c>
    </row>
    <row r="75" spans="1:6" x14ac:dyDescent="0.3">
      <c r="A75" s="61">
        <f>A19+B19+A25+B25-A59+B59-A9+B9</f>
        <v>1.3000000000000012E-2</v>
      </c>
      <c r="B75" s="17"/>
      <c r="C75" t="s">
        <v>9</v>
      </c>
      <c r="F75" t="s">
        <v>131</v>
      </c>
    </row>
    <row r="76" spans="1:6" x14ac:dyDescent="0.3">
      <c r="A76" s="62">
        <f>A19-B19+A25-B25-A59-B59-A9-B9</f>
        <v>5.0000000000000053E-3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826.80912031545733</v>
      </c>
      <c r="C83" t="s">
        <v>39</v>
      </c>
      <c r="F83" t="s">
        <v>95</v>
      </c>
    </row>
    <row r="84" spans="1:7" x14ac:dyDescent="0.3">
      <c r="A84">
        <f>A83/A82</f>
        <v>15406.50789102369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2.87383066054476E-7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44</v>
      </c>
      <c r="D101" s="1"/>
      <c r="E101" s="1"/>
      <c r="F101" t="s">
        <v>45</v>
      </c>
    </row>
    <row r="102" spans="1:6" x14ac:dyDescent="0.3">
      <c r="F102" t="s">
        <v>46</v>
      </c>
    </row>
    <row r="103" spans="1:6" x14ac:dyDescent="0.3">
      <c r="F103" t="s">
        <v>56</v>
      </c>
    </row>
    <row r="104" spans="1:6" x14ac:dyDescent="0.3">
      <c r="A104">
        <f>(A29+A30)/2</f>
        <v>2.7490000000000001</v>
      </c>
      <c r="C104" t="s">
        <v>9</v>
      </c>
      <c r="F104" t="s">
        <v>47</v>
      </c>
    </row>
    <row r="105" spans="1:6" x14ac:dyDescent="0.3">
      <c r="A105">
        <f>A11*A9^3/(12*(1-A12^2))</f>
        <v>383953.6363250736</v>
      </c>
      <c r="C105" t="s">
        <v>52</v>
      </c>
      <c r="F105" t="s">
        <v>48</v>
      </c>
    </row>
    <row r="106" spans="1:6" x14ac:dyDescent="0.3">
      <c r="A106">
        <f>1/64</f>
        <v>1.5625E-2</v>
      </c>
      <c r="C106" t="s">
        <v>8</v>
      </c>
      <c r="F106" t="s">
        <v>54</v>
      </c>
    </row>
    <row r="107" spans="1:6" x14ac:dyDescent="0.3">
      <c r="A107">
        <f>(1-(1-A12)/4)/4</f>
        <v>0.19793749999999999</v>
      </c>
      <c r="C107" t="s">
        <v>8</v>
      </c>
      <c r="F107" t="s">
        <v>55</v>
      </c>
    </row>
    <row r="108" spans="1:6" x14ac:dyDescent="0.3">
      <c r="A108">
        <f>(-A94*A104^4)*(5+A12)/(64*A105*(1+A12))</f>
        <v>-1.512603638035633E-4</v>
      </c>
      <c r="C108" t="s">
        <v>9</v>
      </c>
      <c r="F108" t="s">
        <v>57</v>
      </c>
    </row>
    <row r="109" spans="1:6" x14ac:dyDescent="0.3">
      <c r="A109">
        <f>A94*A104^2*(3+A12)/16</f>
        <v>21.988464115931247</v>
      </c>
      <c r="C109" t="s">
        <v>58</v>
      </c>
      <c r="F109" t="s">
        <v>59</v>
      </c>
    </row>
    <row r="110" spans="1:6" x14ac:dyDescent="0.3">
      <c r="A110">
        <f>6*A109/A9^2</f>
        <v>234.54361723659997</v>
      </c>
      <c r="C110" t="s">
        <v>26</v>
      </c>
      <c r="D110" s="8">
        <f>A110*6894.75729</f>
        <v>1617121.3147650172</v>
      </c>
      <c r="E110" t="s">
        <v>60</v>
      </c>
      <c r="F110" t="s">
        <v>61</v>
      </c>
    </row>
    <row r="111" spans="1:6" x14ac:dyDescent="0.3">
      <c r="A111" s="11">
        <v>3</v>
      </c>
      <c r="B111" s="11"/>
      <c r="C111" t="s">
        <v>8</v>
      </c>
      <c r="F111" t="s">
        <v>63</v>
      </c>
    </row>
    <row r="112" spans="1:6" x14ac:dyDescent="0.3">
      <c r="A112" s="11">
        <f>A13/A110/3-1</f>
        <v>9.3063799323481735</v>
      </c>
      <c r="B112" s="11"/>
      <c r="C112" t="s">
        <v>8</v>
      </c>
      <c r="F112" t="s">
        <v>62</v>
      </c>
    </row>
    <row r="113" spans="1:3" x14ac:dyDescent="0.3">
      <c r="A113" s="8"/>
      <c r="B113" s="8"/>
    </row>
    <row r="115" spans="1:3" x14ac:dyDescent="0.3">
      <c r="C115" t="s">
        <v>13</v>
      </c>
    </row>
    <row r="116" spans="1:3" x14ac:dyDescent="0.3">
      <c r="C116" t="s">
        <v>14</v>
      </c>
    </row>
    <row r="117" spans="1:3" x14ac:dyDescent="0.3">
      <c r="C117" t="s">
        <v>15</v>
      </c>
    </row>
    <row r="118" spans="1:3" x14ac:dyDescent="0.3">
      <c r="C118" t="s">
        <v>16</v>
      </c>
    </row>
    <row r="119" spans="1:3" x14ac:dyDescent="0.3">
      <c r="C119" t="s">
        <v>19</v>
      </c>
    </row>
    <row r="120" spans="1:3" x14ac:dyDescent="0.3">
      <c r="C120" t="s">
        <v>20</v>
      </c>
    </row>
    <row r="121" spans="1:3" x14ac:dyDescent="0.3">
      <c r="C121" t="s">
        <v>21</v>
      </c>
    </row>
    <row r="122" spans="1:3" x14ac:dyDescent="0.3">
      <c r="C122" t="s">
        <v>22</v>
      </c>
    </row>
    <row r="123" spans="1:3" x14ac:dyDescent="0.3">
      <c r="C123" t="s">
        <v>33</v>
      </c>
    </row>
    <row r="124" spans="1:3" x14ac:dyDescent="0.3">
      <c r="C124" t="s">
        <v>34</v>
      </c>
    </row>
    <row r="138" spans="8:10" x14ac:dyDescent="0.3"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6"/>
  <sheetViews>
    <sheetView topLeftCell="A82" zoomScale="115" zoomScaleNormal="115" workbookViewId="0">
      <selection activeCell="A95" sqref="A95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7" customWidth="1"/>
    <col min="23" max="23" width="17.3320312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73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>
        <v>0</v>
      </c>
      <c r="AB4" s="5">
        <v>0</v>
      </c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G5" t="s">
        <v>166</v>
      </c>
      <c r="Y5" s="6">
        <v>0.05</v>
      </c>
      <c r="Z5" s="5">
        <v>0.95</v>
      </c>
      <c r="AA5" s="5">
        <v>6</v>
      </c>
      <c r="AB5" s="5">
        <v>2.5</v>
      </c>
      <c r="AC5" s="5">
        <v>10</v>
      </c>
    </row>
    <row r="6" spans="1:29" ht="45" x14ac:dyDescent="0.25">
      <c r="A6">
        <v>0.03</v>
      </c>
      <c r="B6">
        <v>0.01</v>
      </c>
      <c r="C6" t="s">
        <v>9</v>
      </c>
      <c r="F6" t="s">
        <v>164</v>
      </c>
      <c r="G6" s="12" t="s">
        <v>226</v>
      </c>
      <c r="Y6" s="6">
        <v>0.1</v>
      </c>
      <c r="Z6" s="5">
        <v>2</v>
      </c>
      <c r="AA6" s="5">
        <v>15</v>
      </c>
      <c r="AB6" s="5">
        <v>4.5</v>
      </c>
      <c r="AC6" s="5">
        <v>20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4.5</v>
      </c>
      <c r="AA7" s="5">
        <v>30</v>
      </c>
      <c r="AB7" s="5">
        <v>9</v>
      </c>
      <c r="AC7" s="5">
        <v>45</v>
      </c>
    </row>
    <row r="8" spans="1:29" ht="15" x14ac:dyDescent="0.25">
      <c r="A8" s="11">
        <v>5.2</v>
      </c>
      <c r="C8" t="s">
        <v>9</v>
      </c>
      <c r="F8" t="s">
        <v>4</v>
      </c>
      <c r="G8" t="s">
        <v>166</v>
      </c>
      <c r="Y8" s="6">
        <v>0.3</v>
      </c>
      <c r="Z8" s="5">
        <v>10</v>
      </c>
      <c r="AA8" s="5">
        <v>70</v>
      </c>
      <c r="AB8" s="5">
        <v>20</v>
      </c>
      <c r="AC8" s="5">
        <v>90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G9" s="13"/>
      <c r="Y9" s="6">
        <v>0.4</v>
      </c>
      <c r="Z9" s="5">
        <v>25</v>
      </c>
      <c r="AA9" s="5">
        <v>116</v>
      </c>
      <c r="AB9" s="5">
        <v>40</v>
      </c>
      <c r="AC9" s="5">
        <v>190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185.23*Y10^2-14.54*Y10</f>
        <v>39.037499999999994</v>
      </c>
      <c r="AA10" s="5"/>
      <c r="AB10" s="5"/>
      <c r="AC10" s="5">
        <f>1159.2*Y10^2-5.1769*Y10</f>
        <v>287.21154999999999</v>
      </c>
    </row>
    <row r="11" spans="1:29" ht="15" x14ac:dyDescent="0.25">
      <c r="A11" s="8">
        <f>D11/6894.75729</f>
        <v>10674777.5018488</v>
      </c>
      <c r="B11" s="8"/>
      <c r="C11" t="s">
        <v>26</v>
      </c>
      <c r="D11" s="8">
        <v>73600000000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A22</f>
        <v>5.2381500000000001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8" ht="15" x14ac:dyDescent="0.25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8" ht="15" x14ac:dyDescent="0.25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8" ht="15" x14ac:dyDescent="0.25">
      <c r="A19" s="17">
        <f>A9/2+A61</f>
        <v>0.5</v>
      </c>
      <c r="B19" s="18">
        <v>1E-3</v>
      </c>
      <c r="C19" s="18"/>
      <c r="D19" s="18"/>
      <c r="E19" s="18"/>
      <c r="F19" t="s">
        <v>121</v>
      </c>
    </row>
    <row r="20" spans="1:8" ht="15.75" x14ac:dyDescent="0.25">
      <c r="A20" s="18"/>
      <c r="B20" s="18"/>
      <c r="C20" s="18"/>
      <c r="D20" s="18"/>
      <c r="E20" s="18"/>
      <c r="F20" s="14" t="s">
        <v>124</v>
      </c>
    </row>
    <row r="21" spans="1:8" ht="15" x14ac:dyDescent="0.25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8" ht="15" x14ac:dyDescent="0.25">
      <c r="A22" s="18">
        <f>A44-2*A26</f>
        <v>5.2381500000000001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8" ht="15" x14ac:dyDescent="0.25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8" ht="15" x14ac:dyDescent="0.25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8" ht="15" x14ac:dyDescent="0.25">
      <c r="A25" s="17">
        <f>A9/2+A42-B19-B61-B25-B9</f>
        <v>0.39300000000000002</v>
      </c>
      <c r="B25" s="18">
        <v>1E-3</v>
      </c>
      <c r="C25" s="18"/>
      <c r="D25" s="18"/>
      <c r="E25" s="18"/>
      <c r="F25" t="s">
        <v>129</v>
      </c>
    </row>
    <row r="26" spans="1:8" ht="15" x14ac:dyDescent="0.25">
      <c r="A26" s="18">
        <v>0.05</v>
      </c>
      <c r="B26" s="18"/>
      <c r="C26" s="18"/>
      <c r="D26" s="18"/>
      <c r="E26" s="18"/>
      <c r="F26" t="s">
        <v>179</v>
      </c>
    </row>
    <row r="27" spans="1:8" ht="15.75" x14ac:dyDescent="0.25">
      <c r="A27" s="18"/>
      <c r="B27" s="18"/>
      <c r="C27" s="18"/>
      <c r="D27" s="18"/>
      <c r="E27" s="18"/>
      <c r="F27" s="14" t="s">
        <v>67</v>
      </c>
    </row>
    <row r="28" spans="1:8" ht="15" x14ac:dyDescent="0.25">
      <c r="A28" t="s">
        <v>175</v>
      </c>
      <c r="C28" t="s">
        <v>8</v>
      </c>
      <c r="F28" t="s">
        <v>7</v>
      </c>
    </row>
    <row r="29" spans="1:8" ht="15" x14ac:dyDescent="0.25">
      <c r="A29">
        <v>5.359</v>
      </c>
      <c r="B29">
        <v>3.5000000000000003E-2</v>
      </c>
      <c r="C29" t="s">
        <v>9</v>
      </c>
      <c r="D29">
        <f t="shared" ref="D29:D31" si="0">A29*25.4</f>
        <v>136.11859999999999</v>
      </c>
      <c r="E29" t="s">
        <v>219</v>
      </c>
      <c r="F29" t="s">
        <v>25</v>
      </c>
    </row>
    <row r="30" spans="1:8" ht="15" x14ac:dyDescent="0.25">
      <c r="A30">
        <v>0.13900000000000001</v>
      </c>
      <c r="B30">
        <v>4.0000000000000001E-3</v>
      </c>
      <c r="C30" t="s">
        <v>9</v>
      </c>
      <c r="D30">
        <f t="shared" si="0"/>
        <v>3.5306000000000002</v>
      </c>
      <c r="E30" t="s">
        <v>219</v>
      </c>
      <c r="F30" t="s">
        <v>220</v>
      </c>
      <c r="H30">
        <f>(A30+B30)*25.4</f>
        <v>3.6322000000000001</v>
      </c>
    </row>
    <row r="31" spans="1:8" ht="15" x14ac:dyDescent="0.25">
      <c r="A31">
        <f>A29+A30</f>
        <v>5.4980000000000002</v>
      </c>
      <c r="C31" t="s">
        <v>9</v>
      </c>
      <c r="D31">
        <f t="shared" si="0"/>
        <v>139.64920000000001</v>
      </c>
      <c r="E31" t="s">
        <v>219</v>
      </c>
      <c r="F31" t="s">
        <v>92</v>
      </c>
      <c r="H31">
        <f>(A30-B30)*25.4</f>
        <v>3.4289999999999998</v>
      </c>
    </row>
    <row r="32" spans="1:8" ht="15" x14ac:dyDescent="0.25">
      <c r="A32">
        <v>75</v>
      </c>
      <c r="B32">
        <v>5</v>
      </c>
      <c r="C32" t="s">
        <v>8</v>
      </c>
      <c r="F32" t="s">
        <v>6</v>
      </c>
      <c r="H32">
        <f>H31/2</f>
        <v>1.7144999999999999</v>
      </c>
    </row>
    <row r="33" spans="1:29" ht="15" x14ac:dyDescent="0.25">
      <c r="A33" s="3">
        <v>0.5</v>
      </c>
      <c r="C33" t="s">
        <v>8</v>
      </c>
      <c r="F33" t="s">
        <v>144</v>
      </c>
      <c r="G33" t="s">
        <v>43</v>
      </c>
      <c r="H33">
        <f>H30/2</f>
        <v>1.8161</v>
      </c>
      <c r="I33">
        <f>DEGREES(0.001/6)</f>
        <v>9.5492965855137196E-3</v>
      </c>
    </row>
    <row r="34" spans="1:29" ht="15" x14ac:dyDescent="0.25">
      <c r="A34" s="8">
        <f>W62*PI()*A31</f>
        <v>2.593160028071193E-6</v>
      </c>
      <c r="C34" t="s">
        <v>32</v>
      </c>
      <c r="F34" t="s">
        <v>204</v>
      </c>
      <c r="H34">
        <f>2.3/3.63</f>
        <v>0.63360881542699721</v>
      </c>
      <c r="K34">
        <f>2*2.735</f>
        <v>5.47</v>
      </c>
    </row>
    <row r="35" spans="1:29" ht="15" x14ac:dyDescent="0.25">
      <c r="A35" s="8">
        <f>W63*PI()*A31</f>
        <v>1.4416272895721628E-6</v>
      </c>
      <c r="C35" t="s">
        <v>32</v>
      </c>
      <c r="F35" t="s">
        <v>203</v>
      </c>
      <c r="H35">
        <f>2.3/3.43</f>
        <v>0.67055393586005818</v>
      </c>
      <c r="K35">
        <f>2*(2.735+0.24)</f>
        <v>5.9499999999999993</v>
      </c>
    </row>
    <row r="36" spans="1:29" ht="15" x14ac:dyDescent="0.25">
      <c r="A36" s="4">
        <f>(AC10+Z10)/2</f>
        <v>163.12452500000001</v>
      </c>
      <c r="B36" s="4">
        <f>(AC10-Z10)/2</f>
        <v>124.087025</v>
      </c>
      <c r="C36" t="s">
        <v>38</v>
      </c>
      <c r="F36" t="s">
        <v>35</v>
      </c>
      <c r="H36" s="4">
        <f>A36+B36</f>
        <v>287.21154999999999</v>
      </c>
      <c r="K36">
        <f>K34-K35</f>
        <v>-0.47999999999999954</v>
      </c>
      <c r="Y36" t="s">
        <v>79</v>
      </c>
    </row>
    <row r="37" spans="1:29" ht="15" x14ac:dyDescent="0.25">
      <c r="A37" s="4">
        <f>A36*PI()*($A29+$A30)</f>
        <v>2817.5645098630644</v>
      </c>
      <c r="B37" s="4">
        <f>B36*PI()*($A29+$A30)</f>
        <v>2143.2902120296799</v>
      </c>
      <c r="C37" t="s">
        <v>39</v>
      </c>
      <c r="F37" t="s">
        <v>36</v>
      </c>
      <c r="H37">
        <f>0.018/(0.139+0.004)</f>
        <v>0.12587412587412586</v>
      </c>
      <c r="Z37" s="5" t="s">
        <v>69</v>
      </c>
      <c r="AA37" s="5" t="s">
        <v>69</v>
      </c>
      <c r="AB37" s="5" t="s">
        <v>71</v>
      </c>
      <c r="AC37" s="5" t="s">
        <v>71</v>
      </c>
    </row>
    <row r="38" spans="1:29" ht="15" x14ac:dyDescent="0.25">
      <c r="A38" s="25">
        <f>A37-B37</f>
        <v>674.27429783338448</v>
      </c>
      <c r="B38" s="4"/>
      <c r="C38" t="s">
        <v>39</v>
      </c>
      <c r="F38" t="s">
        <v>80</v>
      </c>
      <c r="H38">
        <f>-0.018/(0.139-0.004)</f>
        <v>-0.1333333333333333</v>
      </c>
      <c r="Y38" s="5" t="s">
        <v>12</v>
      </c>
      <c r="Z38" s="5" t="s">
        <v>70</v>
      </c>
      <c r="AA38" s="5" t="s">
        <v>72</v>
      </c>
      <c r="AB38" s="5" t="s">
        <v>70</v>
      </c>
      <c r="AC38" s="5" t="s">
        <v>72</v>
      </c>
    </row>
    <row r="39" spans="1:29" ht="15" x14ac:dyDescent="0.25">
      <c r="A39" s="25">
        <f>A37+B37</f>
        <v>4960.8547218927442</v>
      </c>
      <c r="B39" s="4"/>
      <c r="C39" t="s">
        <v>39</v>
      </c>
      <c r="F39" t="s">
        <v>81</v>
      </c>
      <c r="Y39" s="6">
        <v>0</v>
      </c>
      <c r="Z39" s="5">
        <v>0</v>
      </c>
      <c r="AA39" s="5"/>
      <c r="AB39" s="5"/>
      <c r="AC39" s="5">
        <v>0</v>
      </c>
    </row>
    <row r="40" spans="1:29" ht="15" x14ac:dyDescent="0.25">
      <c r="A40" s="25">
        <f>A39/(PI()*(2.975^2-2.735^2))</f>
        <v>1152.2833493140672</v>
      </c>
      <c r="B40" s="4"/>
      <c r="C40" t="s">
        <v>26</v>
      </c>
      <c r="F40" t="s">
        <v>290</v>
      </c>
      <c r="Y40" s="6">
        <v>0.05</v>
      </c>
      <c r="Z40" s="5">
        <v>3</v>
      </c>
      <c r="AA40" s="5"/>
      <c r="AB40" s="5"/>
      <c r="AC40" s="5">
        <v>15</v>
      </c>
    </row>
    <row r="41" spans="1:29" x14ac:dyDescent="0.3">
      <c r="A41" s="25">
        <f>A39/(PI()*((2.736+0.099)^2-2.736^2))</f>
        <v>2863.1116439933239</v>
      </c>
      <c r="B41" s="4"/>
      <c r="C41" t="s">
        <v>26</v>
      </c>
      <c r="F41" t="s">
        <v>291</v>
      </c>
      <c r="Y41" s="6">
        <v>0.1</v>
      </c>
      <c r="Z41" s="5">
        <v>7</v>
      </c>
      <c r="AA41" s="5"/>
      <c r="AB41" s="5"/>
      <c r="AC41" s="5">
        <v>28</v>
      </c>
    </row>
    <row r="42" spans="1:29" x14ac:dyDescent="0.3">
      <c r="A42" s="18">
        <v>3.1E-2</v>
      </c>
      <c r="B42" s="4"/>
      <c r="C42" t="s">
        <v>9</v>
      </c>
      <c r="D42">
        <f>A42*25.4</f>
        <v>0.78739999999999999</v>
      </c>
      <c r="E42" t="s">
        <v>219</v>
      </c>
      <c r="F42" t="s">
        <v>132</v>
      </c>
      <c r="G42" t="s">
        <v>134</v>
      </c>
      <c r="H42" s="3">
        <f>A45/0.164-1</f>
        <v>0.4207317073170731</v>
      </c>
      <c r="I42" t="s">
        <v>150</v>
      </c>
      <c r="Y42" s="6">
        <v>0.2</v>
      </c>
      <c r="Z42" s="5">
        <v>16</v>
      </c>
      <c r="AA42" s="5"/>
      <c r="AB42" s="5"/>
      <c r="AC42" s="5">
        <v>55</v>
      </c>
    </row>
    <row r="43" spans="1:29" ht="15.6" x14ac:dyDescent="0.3">
      <c r="A43" s="4"/>
      <c r="B43" s="4"/>
      <c r="F43" s="14" t="s">
        <v>112</v>
      </c>
      <c r="Y43" s="6">
        <v>0.3</v>
      </c>
      <c r="Z43" s="5">
        <v>35</v>
      </c>
      <c r="AA43" s="5"/>
      <c r="AB43" s="5"/>
      <c r="AC43" s="5">
        <v>100</v>
      </c>
    </row>
    <row r="44" spans="1:29" x14ac:dyDescent="0.3">
      <c r="A44" s="18">
        <f>A29-0.15*A30</f>
        <v>5.3381499999999997</v>
      </c>
      <c r="B44">
        <v>1E-3</v>
      </c>
      <c r="F44" t="s">
        <v>113</v>
      </c>
      <c r="G44" t="s">
        <v>221</v>
      </c>
      <c r="Y44" s="6">
        <v>0.4</v>
      </c>
      <c r="Z44" s="5">
        <v>68</v>
      </c>
      <c r="AA44" s="5"/>
      <c r="AB44" s="5"/>
      <c r="AC44" s="5">
        <v>250</v>
      </c>
    </row>
    <row r="45" spans="1:29" x14ac:dyDescent="0.3">
      <c r="A45" s="19">
        <v>0.23300000000000001</v>
      </c>
      <c r="B45">
        <v>1E-3</v>
      </c>
      <c r="C45" t="s">
        <v>9</v>
      </c>
      <c r="D45">
        <f>A45*25.4</f>
        <v>5.9181999999999997</v>
      </c>
      <c r="E45" t="s">
        <v>219</v>
      </c>
      <c r="F45" t="s">
        <v>149</v>
      </c>
      <c r="G45" t="s">
        <v>136</v>
      </c>
      <c r="K45">
        <v>251</v>
      </c>
      <c r="Y45" s="6">
        <v>0.5</v>
      </c>
      <c r="Z45" s="7">
        <f>409.85*Y45^2+2.36*Y45</f>
        <v>103.64250000000001</v>
      </c>
      <c r="AA45" s="5"/>
      <c r="AB45" s="5"/>
      <c r="AC45" s="5">
        <f>1621*Y45^2-58.678*Y45</f>
        <v>375.911</v>
      </c>
    </row>
    <row r="46" spans="1:29" x14ac:dyDescent="0.3">
      <c r="A46" s="20">
        <f>A44+2*A45</f>
        <v>5.8041499999999999</v>
      </c>
      <c r="F46" t="s">
        <v>135</v>
      </c>
      <c r="G46" s="13"/>
      <c r="I46">
        <f>(A44+A46)/2</f>
        <v>5.5711499999999994</v>
      </c>
      <c r="K46">
        <v>4</v>
      </c>
      <c r="L46">
        <v>30</v>
      </c>
    </row>
    <row r="47" spans="1:29" x14ac:dyDescent="0.3">
      <c r="A47" s="65">
        <f>ROUND((A30+B30)/2,3)</f>
        <v>7.1999999999999995E-2</v>
      </c>
      <c r="B47">
        <v>1E-3</v>
      </c>
      <c r="C47" t="s">
        <v>9</v>
      </c>
      <c r="D47">
        <f>A47*25.4</f>
        <v>1.8287999999999998</v>
      </c>
      <c r="E47" t="s">
        <v>219</v>
      </c>
      <c r="F47" t="s">
        <v>115</v>
      </c>
      <c r="G47" t="s">
        <v>216</v>
      </c>
      <c r="I47">
        <f>I46/2</f>
        <v>2.7855749999999997</v>
      </c>
      <c r="K47">
        <f>K45/(K46+L46/60)</f>
        <v>55.777777777777779</v>
      </c>
    </row>
    <row r="48" spans="1:29" x14ac:dyDescent="0.3">
      <c r="A48" s="64">
        <f>(A45-B45)*(A47-B47+A78)</f>
        <v>1.7632000000000005E-2</v>
      </c>
      <c r="C48" t="s">
        <v>97</v>
      </c>
      <c r="F48" t="s">
        <v>260</v>
      </c>
    </row>
    <row r="49" spans="1:23" x14ac:dyDescent="0.3">
      <c r="A49" s="20">
        <f>(A45+B45)*(A47+B47+A77)</f>
        <v>2.4336000000000003E-2</v>
      </c>
      <c r="C49" t="s">
        <v>97</v>
      </c>
      <c r="F49" t="s">
        <v>261</v>
      </c>
      <c r="K49">
        <f>K45/60</f>
        <v>4.1833333333333336</v>
      </c>
      <c r="L49">
        <f>0.18*60</f>
        <v>10.799999999999999</v>
      </c>
    </row>
    <row r="50" spans="1:23" x14ac:dyDescent="0.3">
      <c r="A50" s="20">
        <f>A45*(A47+A76)</f>
        <v>2.0970000000000003E-2</v>
      </c>
      <c r="C50" t="s">
        <v>97</v>
      </c>
      <c r="F50" t="s">
        <v>262</v>
      </c>
      <c r="J50" t="s">
        <v>222</v>
      </c>
      <c r="K50">
        <f>K45/65</f>
        <v>3.8615384615384616</v>
      </c>
      <c r="L50">
        <f>0.86*60</f>
        <v>51.6</v>
      </c>
    </row>
    <row r="51" spans="1:23" x14ac:dyDescent="0.3">
      <c r="A51" s="3">
        <v>0.75</v>
      </c>
      <c r="C51" t="s">
        <v>8</v>
      </c>
      <c r="F51" t="s">
        <v>143</v>
      </c>
      <c r="G51" t="s">
        <v>145</v>
      </c>
      <c r="I51">
        <f>PI()*0.139^2/4</f>
        <v>1.5174677915002103E-2</v>
      </c>
      <c r="J51" t="s">
        <v>223</v>
      </c>
    </row>
    <row r="52" spans="1:23" x14ac:dyDescent="0.3">
      <c r="A52" s="66">
        <f>PI()*(A30-B30)^2/4/A49</f>
        <v>0.5881772488460919</v>
      </c>
      <c r="F52" t="s">
        <v>140</v>
      </c>
      <c r="I52" s="17">
        <f>A76+A47</f>
        <v>9.0000000000000011E-2</v>
      </c>
      <c r="J52" t="s">
        <v>224</v>
      </c>
    </row>
    <row r="53" spans="1:23" x14ac:dyDescent="0.3">
      <c r="A53" s="66">
        <f>PI()*(A30+B30)^2/4/A48</f>
        <v>0.91087834864532768</v>
      </c>
      <c r="F53" t="s">
        <v>141</v>
      </c>
      <c r="I53">
        <f>I51/I52-PI()*I52/4</f>
        <v>9.7921697683141892E-2</v>
      </c>
    </row>
    <row r="54" spans="1:23" x14ac:dyDescent="0.3">
      <c r="A54" s="66">
        <f>PI()*(A30)^2/4/A50</f>
        <v>0.72363747806400103</v>
      </c>
      <c r="F54" t="s">
        <v>142</v>
      </c>
    </row>
    <row r="55" spans="1:23" ht="15.6" x14ac:dyDescent="0.3">
      <c r="F55" s="14" t="s">
        <v>82</v>
      </c>
      <c r="I55">
        <f>0.139-0.072-0.018+0.018</f>
        <v>6.7000000000000018E-2</v>
      </c>
    </row>
    <row r="56" spans="1:23" x14ac:dyDescent="0.3">
      <c r="A56" t="s">
        <v>84</v>
      </c>
      <c r="F56" t="s">
        <v>83</v>
      </c>
      <c r="I56">
        <f>I55/(0.139+0.018)</f>
        <v>0.42675159235668803</v>
      </c>
    </row>
    <row r="57" spans="1:23" x14ac:dyDescent="0.3">
      <c r="A57">
        <v>5.99</v>
      </c>
      <c r="F57" t="s">
        <v>89</v>
      </c>
    </row>
    <row r="58" spans="1:23" ht="28.8" x14ac:dyDescent="0.3">
      <c r="A58">
        <f>5.38+0.05</f>
        <v>5.43</v>
      </c>
      <c r="C58" t="s">
        <v>9</v>
      </c>
      <c r="F58" t="s">
        <v>90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f>A57-A58</f>
        <v>0.5600000000000005</v>
      </c>
      <c r="C59" t="s">
        <v>9</v>
      </c>
      <c r="F59" t="s">
        <v>85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>
        <f>(A57+A58)/2</f>
        <v>5.71</v>
      </c>
      <c r="C60" t="s">
        <v>9</v>
      </c>
      <c r="F60" t="s">
        <v>91</v>
      </c>
      <c r="G60" t="s">
        <v>93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17">
        <v>0.125</v>
      </c>
      <c r="B61">
        <v>1E-3</v>
      </c>
      <c r="C61" t="s">
        <v>9</v>
      </c>
      <c r="F61" t="s">
        <v>88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x14ac:dyDescent="0.3">
      <c r="A62" s="8">
        <v>500000</v>
      </c>
      <c r="C62" t="s">
        <v>26</v>
      </c>
      <c r="F62" t="s">
        <v>86</v>
      </c>
      <c r="S62" s="5" t="s">
        <v>182</v>
      </c>
      <c r="T62" s="6">
        <f>C74</f>
        <v>0.25899280575539563</v>
      </c>
      <c r="U62" s="5"/>
      <c r="V62" s="5"/>
      <c r="W62" s="5">
        <f>0.0000000349*T62^-1.08</f>
        <v>1.5013249788863165E-7</v>
      </c>
    </row>
    <row r="63" spans="1:23" x14ac:dyDescent="0.3">
      <c r="A63" s="8">
        <f>A61*A39/(PI()*((A58/2+A59)^2-(A58/2)^2))/A62</f>
        <v>1.1768789514518233E-4</v>
      </c>
      <c r="C63" t="s">
        <v>9</v>
      </c>
      <c r="F63" t="s">
        <v>87</v>
      </c>
      <c r="S63" s="5" t="s">
        <v>183</v>
      </c>
      <c r="T63" s="6">
        <f>C75</f>
        <v>0.4460431654676259</v>
      </c>
      <c r="U63" s="5"/>
      <c r="V63" s="5"/>
      <c r="W63" s="5">
        <f>0.0000000349*T63^-1.08</f>
        <v>8.3463844755031248E-8</v>
      </c>
    </row>
    <row r="64" spans="1:23" ht="15.6" x14ac:dyDescent="0.3">
      <c r="A64" s="8"/>
      <c r="F64" s="14" t="s">
        <v>104</v>
      </c>
    </row>
    <row r="65" spans="1:8" x14ac:dyDescent="0.3">
      <c r="A65" s="17"/>
      <c r="B65" s="17">
        <f>B19</f>
        <v>1E-3</v>
      </c>
      <c r="C65" t="s">
        <v>9</v>
      </c>
      <c r="F65" t="s">
        <v>105</v>
      </c>
    </row>
    <row r="66" spans="1:8" x14ac:dyDescent="0.3">
      <c r="A66" s="17"/>
      <c r="B66" s="17">
        <f>B25</f>
        <v>1E-3</v>
      </c>
      <c r="C66" t="s">
        <v>9</v>
      </c>
      <c r="F66" t="s">
        <v>106</v>
      </c>
    </row>
    <row r="67" spans="1:8" x14ac:dyDescent="0.3">
      <c r="A67" s="17"/>
      <c r="B67" s="17">
        <f>B47</f>
        <v>1E-3</v>
      </c>
      <c r="C67" t="s">
        <v>9</v>
      </c>
      <c r="F67" t="s">
        <v>107</v>
      </c>
    </row>
    <row r="68" spans="1:8" x14ac:dyDescent="0.3">
      <c r="A68" s="17"/>
      <c r="B68" s="17">
        <f>B61</f>
        <v>1E-3</v>
      </c>
      <c r="C68" t="s">
        <v>9</v>
      </c>
      <c r="F68" t="s">
        <v>108</v>
      </c>
    </row>
    <row r="69" spans="1:8" x14ac:dyDescent="0.3">
      <c r="A69" s="17"/>
      <c r="B69" s="17">
        <f>A63</f>
        <v>1.1768789514518233E-4</v>
      </c>
      <c r="C69" t="s">
        <v>9</v>
      </c>
      <c r="F69" t="s">
        <v>123</v>
      </c>
    </row>
    <row r="70" spans="1:8" x14ac:dyDescent="0.3">
      <c r="A70" s="17"/>
      <c r="B70" s="17">
        <f>B30</f>
        <v>4.0000000000000001E-3</v>
      </c>
      <c r="C70" t="s">
        <v>9</v>
      </c>
      <c r="F70" t="s">
        <v>133</v>
      </c>
    </row>
    <row r="71" spans="1:8" x14ac:dyDescent="0.3">
      <c r="A71" s="17"/>
      <c r="B71" s="17">
        <f>B9</f>
        <v>0.01</v>
      </c>
      <c r="C71" t="s">
        <v>9</v>
      </c>
      <c r="F71" t="s">
        <v>109</v>
      </c>
    </row>
    <row r="72" spans="1:8" x14ac:dyDescent="0.3">
      <c r="A72" s="17"/>
      <c r="B72" s="17">
        <f>SUM(B65:B71)</f>
        <v>1.8117687895145181E-2</v>
      </c>
      <c r="C72" t="s">
        <v>9</v>
      </c>
      <c r="F72" t="s">
        <v>110</v>
      </c>
    </row>
    <row r="73" spans="1:8" x14ac:dyDescent="0.3">
      <c r="A73" s="18">
        <f>A30-A47-A76</f>
        <v>4.9000000000000002E-2</v>
      </c>
      <c r="B73" s="17"/>
      <c r="C73" s="21">
        <f>A73/A30</f>
        <v>0.35251798561151076</v>
      </c>
      <c r="F73" t="s">
        <v>146</v>
      </c>
      <c r="H73">
        <f>0.018/0.139</f>
        <v>0.12949640287769781</v>
      </c>
    </row>
    <row r="74" spans="1:8" x14ac:dyDescent="0.3">
      <c r="A74" s="18">
        <f>A30-A47-A77</f>
        <v>3.5999999999999997E-2</v>
      </c>
      <c r="B74" s="17"/>
      <c r="C74" s="21">
        <f>A74/A30</f>
        <v>0.25899280575539563</v>
      </c>
      <c r="F74" t="s">
        <v>147</v>
      </c>
    </row>
    <row r="75" spans="1:8" x14ac:dyDescent="0.3">
      <c r="A75" s="17">
        <f>A30-A47-A78</f>
        <v>6.2000000000000006E-2</v>
      </c>
      <c r="B75" s="17"/>
      <c r="C75" s="21">
        <f>A75/A30</f>
        <v>0.4460431654676259</v>
      </c>
      <c r="F75" t="s">
        <v>148</v>
      </c>
    </row>
    <row r="76" spans="1:8" x14ac:dyDescent="0.3">
      <c r="A76" s="17">
        <f>A19+A25-A61-A9</f>
        <v>1.8000000000000016E-2</v>
      </c>
      <c r="C76" t="s">
        <v>9</v>
      </c>
      <c r="F76" t="s">
        <v>130</v>
      </c>
    </row>
    <row r="77" spans="1:8" x14ac:dyDescent="0.3">
      <c r="A77" s="17">
        <f>A19+B19+A25+B25-A61+B61-A9+B9</f>
        <v>3.1000000000000021E-2</v>
      </c>
      <c r="B77" s="17"/>
      <c r="C77" t="s">
        <v>9</v>
      </c>
      <c r="F77" t="s">
        <v>131</v>
      </c>
    </row>
    <row r="78" spans="1:8" x14ac:dyDescent="0.3">
      <c r="A78" s="18">
        <f>A19-B19+A25-B25-A61-B61-A9-B9</f>
        <v>5.0000000000000131E-3</v>
      </c>
      <c r="C78" t="s">
        <v>9</v>
      </c>
      <c r="F78" t="s">
        <v>111</v>
      </c>
    </row>
    <row r="79" spans="1:8" ht="15.6" x14ac:dyDescent="0.3">
      <c r="F79" s="14" t="s">
        <v>74</v>
      </c>
    </row>
    <row r="80" spans="1:8" x14ac:dyDescent="0.3">
      <c r="A80">
        <v>6</v>
      </c>
      <c r="F80" t="s">
        <v>75</v>
      </c>
    </row>
    <row r="81" spans="1:7" x14ac:dyDescent="0.3">
      <c r="A81" s="16" t="s">
        <v>103</v>
      </c>
      <c r="F81" t="s">
        <v>78</v>
      </c>
    </row>
    <row r="82" spans="1:7" x14ac:dyDescent="0.3">
      <c r="A82">
        <f>5/16</f>
        <v>0.3125</v>
      </c>
      <c r="C82" t="s">
        <v>9</v>
      </c>
      <c r="F82" t="s">
        <v>76</v>
      </c>
    </row>
    <row r="83" spans="1:7" x14ac:dyDescent="0.3">
      <c r="A83">
        <v>0.26140000000000002</v>
      </c>
      <c r="C83" t="s">
        <v>9</v>
      </c>
      <c r="F83" t="s">
        <v>77</v>
      </c>
    </row>
    <row r="84" spans="1:7" x14ac:dyDescent="0.3">
      <c r="A84">
        <f>PI()*A83^2/4</f>
        <v>5.3666225089021115E-2</v>
      </c>
      <c r="C84" t="s">
        <v>97</v>
      </c>
      <c r="F84" t="s">
        <v>94</v>
      </c>
    </row>
    <row r="85" spans="1:7" x14ac:dyDescent="0.3">
      <c r="A85" s="4">
        <f>A39/A80</f>
        <v>826.80912031545733</v>
      </c>
      <c r="C85" t="s">
        <v>39</v>
      </c>
      <c r="F85" t="s">
        <v>95</v>
      </c>
    </row>
    <row r="86" spans="1:7" x14ac:dyDescent="0.3">
      <c r="A86">
        <f>A85/A84</f>
        <v>15406.50789102369</v>
      </c>
      <c r="C86" t="s">
        <v>26</v>
      </c>
      <c r="F86" t="s">
        <v>96</v>
      </c>
    </row>
    <row r="87" spans="1:7" x14ac:dyDescent="0.3">
      <c r="A87">
        <v>5510</v>
      </c>
      <c r="C87" t="s">
        <v>39</v>
      </c>
      <c r="F87" t="s">
        <v>98</v>
      </c>
      <c r="G87" t="s">
        <v>99</v>
      </c>
    </row>
    <row r="88" spans="1:7" x14ac:dyDescent="0.3">
      <c r="A88">
        <v>30000</v>
      </c>
      <c r="C88" t="s">
        <v>26</v>
      </c>
      <c r="F88" t="s">
        <v>100</v>
      </c>
      <c r="G88" t="s">
        <v>99</v>
      </c>
    </row>
    <row r="89" spans="1:7" x14ac:dyDescent="0.3">
      <c r="A89">
        <v>95000</v>
      </c>
      <c r="C89" t="s">
        <v>26</v>
      </c>
      <c r="F89" t="s">
        <v>101</v>
      </c>
      <c r="G89" t="s">
        <v>99</v>
      </c>
    </row>
    <row r="90" spans="1:7" x14ac:dyDescent="0.3">
      <c r="A90">
        <v>190</v>
      </c>
      <c r="C90" t="s">
        <v>52</v>
      </c>
      <c r="F90" t="s">
        <v>102</v>
      </c>
      <c r="G90" t="s">
        <v>99</v>
      </c>
    </row>
    <row r="92" spans="1:7" x14ac:dyDescent="0.3">
      <c r="A92">
        <f>A96*PI()*A5^2/4</f>
        <v>415.63270806992961</v>
      </c>
      <c r="C92" t="s">
        <v>39</v>
      </c>
      <c r="F92" t="s">
        <v>37</v>
      </c>
    </row>
    <row r="95" spans="1:7" ht="43.2" x14ac:dyDescent="0.3">
      <c r="A95">
        <f>(0.8*0.233+0.2*1.7)*0.00000001</f>
        <v>5.264E-9</v>
      </c>
      <c r="C95" s="12" t="s">
        <v>24</v>
      </c>
      <c r="D95" s="12"/>
      <c r="E95" s="12"/>
      <c r="F95" t="s">
        <v>31</v>
      </c>
    </row>
    <row r="96" spans="1:7" x14ac:dyDescent="0.3">
      <c r="A96">
        <v>14.7</v>
      </c>
      <c r="C96" t="s">
        <v>26</v>
      </c>
      <c r="F96" t="s">
        <v>53</v>
      </c>
    </row>
    <row r="97" spans="1:7" x14ac:dyDescent="0.3">
      <c r="A97">
        <v>1.35</v>
      </c>
      <c r="C97" t="s">
        <v>8</v>
      </c>
      <c r="F97" t="s">
        <v>27</v>
      </c>
    </row>
    <row r="98" spans="1:7" x14ac:dyDescent="0.3">
      <c r="A98">
        <v>0.2</v>
      </c>
      <c r="C98" t="s">
        <v>8</v>
      </c>
      <c r="F98" t="s">
        <v>28</v>
      </c>
    </row>
    <row r="99" spans="1:7" x14ac:dyDescent="0.3">
      <c r="A99">
        <f>0.7*A95*A29*A96*A97*(1-A98)^2</f>
        <v>2.5080070611456006E-7</v>
      </c>
      <c r="C99" t="s">
        <v>23</v>
      </c>
      <c r="F99" t="s">
        <v>30</v>
      </c>
    </row>
    <row r="100" spans="1:7" x14ac:dyDescent="0.3">
      <c r="A100">
        <f>A99*0.76</f>
        <v>1.9060853664706564E-7</v>
      </c>
      <c r="C100" t="s">
        <v>32</v>
      </c>
      <c r="F100" t="s">
        <v>29</v>
      </c>
    </row>
    <row r="103" spans="1:7" x14ac:dyDescent="0.3">
      <c r="C103" s="1" t="s">
        <v>44</v>
      </c>
      <c r="D103" s="1"/>
      <c r="E103" s="1"/>
      <c r="F103" t="s">
        <v>45</v>
      </c>
    </row>
    <row r="104" spans="1:7" x14ac:dyDescent="0.3">
      <c r="F104" t="s">
        <v>46</v>
      </c>
    </row>
    <row r="105" spans="1:7" x14ac:dyDescent="0.3">
      <c r="F105" t="s">
        <v>56</v>
      </c>
    </row>
    <row r="106" spans="1:7" x14ac:dyDescent="0.3">
      <c r="A106">
        <v>2.7360000000000002</v>
      </c>
      <c r="C106" t="s">
        <v>9</v>
      </c>
      <c r="F106" t="s">
        <v>47</v>
      </c>
      <c r="G106">
        <f>2.736+0.099/2</f>
        <v>2.7855000000000003</v>
      </c>
    </row>
    <row r="107" spans="1:7" x14ac:dyDescent="0.3">
      <c r="A107">
        <f>A11*A9^3/(12*(1-A12^2))</f>
        <v>386051.7436273963</v>
      </c>
      <c r="C107" t="s">
        <v>52</v>
      </c>
      <c r="F107" t="s">
        <v>48</v>
      </c>
      <c r="G107">
        <f>(A29+A30)/2</f>
        <v>2.7490000000000001</v>
      </c>
    </row>
    <row r="108" spans="1:7" x14ac:dyDescent="0.3">
      <c r="A108">
        <f>1/64</f>
        <v>1.5625E-2</v>
      </c>
      <c r="C108" t="s">
        <v>8</v>
      </c>
      <c r="F108" t="s">
        <v>54</v>
      </c>
    </row>
    <row r="109" spans="1:7" x14ac:dyDescent="0.3">
      <c r="A109">
        <f>(1-(1-A12)/4)/4</f>
        <v>0.19793749999999999</v>
      </c>
      <c r="C109" t="s">
        <v>8</v>
      </c>
      <c r="F109" t="s">
        <v>55</v>
      </c>
    </row>
    <row r="110" spans="1:7" x14ac:dyDescent="0.3">
      <c r="A110">
        <f>(-A96*A106^4)*(5+A12)/(64*A107*(1+A12))</f>
        <v>-1.4761273266591425E-4</v>
      </c>
      <c r="C110" t="s">
        <v>9</v>
      </c>
      <c r="F110" t="s">
        <v>57</v>
      </c>
    </row>
    <row r="111" spans="1:7" x14ac:dyDescent="0.3">
      <c r="A111">
        <f>A96*A106^2*(3+A12)/16</f>
        <v>21.780989294400001</v>
      </c>
      <c r="C111" t="s">
        <v>58</v>
      </c>
      <c r="F111" t="s">
        <v>59</v>
      </c>
    </row>
    <row r="112" spans="1:7" x14ac:dyDescent="0.3">
      <c r="A112">
        <f>6*A111/A9^2</f>
        <v>232.33055247360002</v>
      </c>
      <c r="C112" t="s">
        <v>26</v>
      </c>
      <c r="D112" s="8">
        <f>A112*6894.75729</f>
        <v>1601862.7703570812</v>
      </c>
      <c r="E112" t="s">
        <v>60</v>
      </c>
      <c r="F112" t="s">
        <v>61</v>
      </c>
    </row>
    <row r="113" spans="1:6" x14ac:dyDescent="0.3">
      <c r="A113" s="11">
        <v>3</v>
      </c>
      <c r="B113" s="11"/>
      <c r="C113" t="s">
        <v>8</v>
      </c>
      <c r="F113" t="s">
        <v>63</v>
      </c>
    </row>
    <row r="114" spans="1:6" x14ac:dyDescent="0.3">
      <c r="A114" s="11">
        <f>A13/A112/3-1</f>
        <v>9.4045533581827332</v>
      </c>
      <c r="B114" s="11"/>
      <c r="C114" t="s">
        <v>8</v>
      </c>
      <c r="F114" t="s">
        <v>62</v>
      </c>
    </row>
    <row r="115" spans="1:6" x14ac:dyDescent="0.3">
      <c r="A115" s="8"/>
      <c r="B115" s="8"/>
    </row>
    <row r="117" spans="1:6" x14ac:dyDescent="0.3">
      <c r="C117" t="s">
        <v>13</v>
      </c>
    </row>
    <row r="118" spans="1:6" x14ac:dyDescent="0.3">
      <c r="C118" t="s">
        <v>14</v>
      </c>
    </row>
    <row r="119" spans="1:6" x14ac:dyDescent="0.3">
      <c r="C119" t="s">
        <v>15</v>
      </c>
    </row>
    <row r="120" spans="1:6" x14ac:dyDescent="0.3">
      <c r="C120" t="s">
        <v>16</v>
      </c>
    </row>
    <row r="121" spans="1:6" x14ac:dyDescent="0.3">
      <c r="C121" t="s">
        <v>19</v>
      </c>
    </row>
    <row r="122" spans="1:6" x14ac:dyDescent="0.3">
      <c r="C122" t="s">
        <v>20</v>
      </c>
    </row>
    <row r="123" spans="1:6" x14ac:dyDescent="0.3">
      <c r="C123" t="s">
        <v>21</v>
      </c>
    </row>
    <row r="124" spans="1:6" x14ac:dyDescent="0.3">
      <c r="C124" t="s">
        <v>22</v>
      </c>
    </row>
    <row r="125" spans="1:6" x14ac:dyDescent="0.3">
      <c r="C125" t="s">
        <v>33</v>
      </c>
    </row>
    <row r="126" spans="1:6" x14ac:dyDescent="0.3">
      <c r="C126" t="s">
        <v>34</v>
      </c>
    </row>
    <row r="139" spans="8:10" x14ac:dyDescent="0.3">
      <c r="J139">
        <f>0.158+H140*(0.164-0.158)</f>
        <v>0.16183132530120484</v>
      </c>
    </row>
    <row r="140" spans="8:10" x14ac:dyDescent="0.3">
      <c r="H140">
        <f>(254-201)/(284-201)</f>
        <v>0.63855421686746983</v>
      </c>
      <c r="I140">
        <f>0.101+H140*0.006</f>
        <v>0.10483132530120483</v>
      </c>
    </row>
    <row r="158" spans="8:10" x14ac:dyDescent="0.3">
      <c r="J158">
        <f>TAN(RADIANS(5/60))*6</f>
        <v>8.7266524134223793E-3</v>
      </c>
    </row>
    <row r="159" spans="8:10" x14ac:dyDescent="0.3">
      <c r="H159">
        <f>5/16</f>
        <v>0.3125</v>
      </c>
    </row>
    <row r="160" spans="8:10" x14ac:dyDescent="0.3">
      <c r="H160">
        <f>H159*25.4</f>
        <v>7.9375</v>
      </c>
    </row>
    <row r="162" spans="8:10" x14ac:dyDescent="0.3">
      <c r="H162">
        <f>360/8</f>
        <v>45</v>
      </c>
    </row>
    <row r="163" spans="8:10" x14ac:dyDescent="0.3">
      <c r="J163">
        <f>H164/25.4</f>
        <v>0.14173228346456693</v>
      </c>
    </row>
    <row r="164" spans="8:10" x14ac:dyDescent="0.3">
      <c r="H164">
        <v>3.6</v>
      </c>
      <c r="I164" t="s">
        <v>218</v>
      </c>
      <c r="J164">
        <f>H165/25.4</f>
        <v>0.23622047244094491</v>
      </c>
    </row>
    <row r="165" spans="8:10" x14ac:dyDescent="0.3">
      <c r="H165">
        <v>6</v>
      </c>
      <c r="I165" t="s">
        <v>217</v>
      </c>
      <c r="J165">
        <f>H166/25.4</f>
        <v>0.55118110236220474</v>
      </c>
    </row>
    <row r="166" spans="8:10" x14ac:dyDescent="0.3">
      <c r="H166">
        <v>14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"/>
  <sheetViews>
    <sheetView topLeftCell="A16" zoomScale="115" zoomScaleNormal="115" workbookViewId="0">
      <selection activeCell="A7" sqref="A7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17" max="17" width="13.109375" customWidth="1"/>
    <col min="18" max="18" width="14.88671875" customWidth="1"/>
    <col min="19" max="19" width="16.33203125" customWidth="1"/>
    <col min="21" max="21" width="13.44140625" customWidth="1"/>
    <col min="22" max="22" width="16.5546875" customWidth="1"/>
    <col min="23" max="23" width="17.4414062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73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>
        <v>0</v>
      </c>
      <c r="AB4" s="5">
        <v>0</v>
      </c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G5" t="s">
        <v>166</v>
      </c>
      <c r="Y5" s="6">
        <v>0.05</v>
      </c>
      <c r="Z5" s="5">
        <v>0.95</v>
      </c>
      <c r="AA5" s="5">
        <v>6</v>
      </c>
      <c r="AB5" s="5">
        <v>2.5</v>
      </c>
      <c r="AC5" s="5">
        <v>10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2</v>
      </c>
      <c r="AA6" s="5">
        <v>15</v>
      </c>
      <c r="AB6" s="5">
        <v>4.5</v>
      </c>
      <c r="AC6" s="5">
        <v>20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4.5</v>
      </c>
      <c r="AA7" s="5">
        <v>30</v>
      </c>
      <c r="AB7" s="5">
        <v>9</v>
      </c>
      <c r="AC7" s="5">
        <v>45</v>
      </c>
    </row>
    <row r="8" spans="1:29" ht="15" x14ac:dyDescent="0.25">
      <c r="A8" s="11">
        <v>5.2</v>
      </c>
      <c r="C8" t="s">
        <v>9</v>
      </c>
      <c r="F8" t="s">
        <v>4</v>
      </c>
      <c r="G8" t="s">
        <v>166</v>
      </c>
      <c r="Y8" s="6">
        <v>0.3</v>
      </c>
      <c r="Z8" s="5">
        <v>10</v>
      </c>
      <c r="AA8" s="5">
        <v>70</v>
      </c>
      <c r="AB8" s="5">
        <v>20</v>
      </c>
      <c r="AC8" s="5">
        <v>90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25</v>
      </c>
      <c r="AA9" s="5">
        <v>116</v>
      </c>
      <c r="AB9" s="5">
        <v>40</v>
      </c>
      <c r="AC9" s="5">
        <v>190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185.23*Y10^2-14.54*Y10</f>
        <v>39.037499999999994</v>
      </c>
      <c r="AA10" s="5"/>
      <c r="AB10" s="5"/>
      <c r="AC10" s="5">
        <f>1159.2*Y10^2-5.1769*Y10</f>
        <v>287.21154999999999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5.2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ht="15" x14ac:dyDescent="0.25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ht="15" x14ac:dyDescent="0.25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ht="15" x14ac:dyDescent="0.25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75" x14ac:dyDescent="0.25">
      <c r="A20" s="18"/>
      <c r="B20" s="18"/>
      <c r="C20" s="18"/>
      <c r="D20" s="18"/>
      <c r="E20" s="18"/>
      <c r="F20" s="14" t="s">
        <v>124</v>
      </c>
    </row>
    <row r="21" spans="1:7" ht="15" x14ac:dyDescent="0.25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ht="15" x14ac:dyDescent="0.25">
      <c r="A22" s="18">
        <f>A42-2*A26</f>
        <v>5.3840000000000003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ht="15" x14ac:dyDescent="0.25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ht="15" x14ac:dyDescent="0.25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ht="15" x14ac:dyDescent="0.25">
      <c r="A25" s="18">
        <f>A9/2+A40-B19-B59-B25-B9</f>
        <v>0.39300000000000002</v>
      </c>
      <c r="B25" s="18">
        <v>1E-3</v>
      </c>
      <c r="C25" s="18"/>
      <c r="D25" s="18"/>
      <c r="E25" s="18"/>
      <c r="F25" t="s">
        <v>129</v>
      </c>
    </row>
    <row r="26" spans="1:7" ht="15" x14ac:dyDescent="0.25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151</v>
      </c>
      <c r="C28" t="s">
        <v>8</v>
      </c>
      <c r="F28" t="s">
        <v>7</v>
      </c>
    </row>
    <row r="29" spans="1:7" x14ac:dyDescent="0.3">
      <c r="A29">
        <v>5.484</v>
      </c>
      <c r="B29">
        <v>3.5000000000000003E-2</v>
      </c>
      <c r="C29" t="s">
        <v>9</v>
      </c>
      <c r="F29" t="s">
        <v>25</v>
      </c>
    </row>
    <row r="30" spans="1:7" x14ac:dyDescent="0.3">
      <c r="A30">
        <v>0.13900000000000001</v>
      </c>
      <c r="B30">
        <v>4.0000000000000001E-3</v>
      </c>
      <c r="C30" t="s">
        <v>9</v>
      </c>
      <c r="F30" t="s">
        <v>5</v>
      </c>
    </row>
    <row r="31" spans="1:7" x14ac:dyDescent="0.3">
      <c r="A31">
        <f>A29+A30</f>
        <v>5.6230000000000002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29" x14ac:dyDescent="0.3">
      <c r="A33" s="3">
        <v>0.5</v>
      </c>
      <c r="C33" t="s">
        <v>8</v>
      </c>
      <c r="F33" t="s">
        <v>144</v>
      </c>
      <c r="G33" t="s">
        <v>43</v>
      </c>
    </row>
    <row r="34" spans="1:29" x14ac:dyDescent="0.3">
      <c r="A34" s="8">
        <f>W62*PI()*A31</f>
        <v>2.9906426416658553E-6</v>
      </c>
      <c r="C34" t="s">
        <v>32</v>
      </c>
      <c r="F34" t="s">
        <v>204</v>
      </c>
    </row>
    <row r="35" spans="1:29" x14ac:dyDescent="0.3">
      <c r="A35" s="8">
        <f>W63*PI()*A31</f>
        <v>1.4713294728021764E-6</v>
      </c>
      <c r="C35" t="s">
        <v>32</v>
      </c>
      <c r="F35" t="s">
        <v>203</v>
      </c>
    </row>
    <row r="36" spans="1:29" x14ac:dyDescent="0.3">
      <c r="A36" s="4">
        <f>(AC10+Z10)/2</f>
        <v>163.12452500000001</v>
      </c>
      <c r="B36" s="4">
        <f>(AC10-Z10)/2</f>
        <v>124.087025</v>
      </c>
      <c r="C36" t="s">
        <v>38</v>
      </c>
      <c r="F36" t="s">
        <v>35</v>
      </c>
      <c r="Y36" t="s">
        <v>79</v>
      </c>
    </row>
    <row r="37" spans="1:29" x14ac:dyDescent="0.3">
      <c r="A37" s="4">
        <f>A36*PI()*($A29+$A30)</f>
        <v>2881.6233610331051</v>
      </c>
      <c r="B37" s="4">
        <f>B36*PI()*($A29+$A30)</f>
        <v>2192.0190727979066</v>
      </c>
      <c r="C37" t="s">
        <v>39</v>
      </c>
      <c r="F37" t="s">
        <v>36</v>
      </c>
      <c r="Z37" s="5" t="s">
        <v>69</v>
      </c>
      <c r="AA37" s="5" t="s">
        <v>69</v>
      </c>
      <c r="AB37" s="5" t="s">
        <v>71</v>
      </c>
      <c r="AC37" s="5" t="s">
        <v>71</v>
      </c>
    </row>
    <row r="38" spans="1:29" x14ac:dyDescent="0.3">
      <c r="A38" s="25">
        <f>A37-B37</f>
        <v>689.60428823519851</v>
      </c>
      <c r="B38" s="4"/>
      <c r="C38" t="s">
        <v>39</v>
      </c>
      <c r="F38" t="s">
        <v>80</v>
      </c>
      <c r="Y38" s="5" t="s">
        <v>12</v>
      </c>
      <c r="Z38" s="5" t="s">
        <v>70</v>
      </c>
      <c r="AA38" s="5" t="s">
        <v>72</v>
      </c>
      <c r="AB38" s="5" t="s">
        <v>70</v>
      </c>
      <c r="AC38" s="5" t="s">
        <v>72</v>
      </c>
    </row>
    <row r="39" spans="1:29" x14ac:dyDescent="0.3">
      <c r="A39" s="25">
        <f>A37+B37</f>
        <v>5073.6424338310117</v>
      </c>
      <c r="B39" s="4"/>
      <c r="C39" t="s">
        <v>39</v>
      </c>
      <c r="F39" t="s">
        <v>81</v>
      </c>
      <c r="Y39" s="6">
        <v>0</v>
      </c>
      <c r="Z39" s="5">
        <v>0</v>
      </c>
      <c r="AA39" s="5"/>
      <c r="AB39" s="5"/>
      <c r="AC39" s="5">
        <v>0</v>
      </c>
    </row>
    <row r="40" spans="1:29" x14ac:dyDescent="0.3">
      <c r="A40" s="18">
        <v>3.1E-2</v>
      </c>
      <c r="B40" s="4"/>
      <c r="C40" t="s">
        <v>9</v>
      </c>
      <c r="F40" t="s">
        <v>132</v>
      </c>
      <c r="G40" t="s">
        <v>134</v>
      </c>
      <c r="H40" s="3">
        <f>A43/0.164-1</f>
        <v>0.28048780487804859</v>
      </c>
      <c r="I40" t="s">
        <v>150</v>
      </c>
      <c r="Y40" s="6">
        <v>0.05</v>
      </c>
      <c r="Z40" s="5">
        <v>3</v>
      </c>
      <c r="AA40" s="5"/>
      <c r="AB40" s="5"/>
      <c r="AC40" s="5">
        <v>15</v>
      </c>
    </row>
    <row r="41" spans="1:29" ht="15.6" x14ac:dyDescent="0.3">
      <c r="A41" s="4"/>
      <c r="B41" s="4"/>
      <c r="F41" s="14" t="s">
        <v>112</v>
      </c>
      <c r="Y41" s="6">
        <v>0.1</v>
      </c>
      <c r="Z41" s="5">
        <v>7</v>
      </c>
      <c r="AA41" s="5"/>
      <c r="AB41" s="5"/>
      <c r="AC41" s="5">
        <v>28</v>
      </c>
    </row>
    <row r="42" spans="1:29" x14ac:dyDescent="0.3">
      <c r="A42" s="18">
        <f>A29</f>
        <v>5.484</v>
      </c>
      <c r="B42">
        <v>1E-3</v>
      </c>
      <c r="F42" t="s">
        <v>113</v>
      </c>
      <c r="G42" t="s">
        <v>136</v>
      </c>
      <c r="Y42" s="6">
        <v>0.2</v>
      </c>
      <c r="Z42" s="5">
        <v>16</v>
      </c>
      <c r="AA42" s="5"/>
      <c r="AB42" s="5"/>
      <c r="AC42" s="5">
        <v>55</v>
      </c>
    </row>
    <row r="43" spans="1:29" x14ac:dyDescent="0.3">
      <c r="A43" s="19">
        <v>0.21</v>
      </c>
      <c r="B43">
        <v>1E-3</v>
      </c>
      <c r="F43" t="s">
        <v>149</v>
      </c>
      <c r="G43" t="s">
        <v>136</v>
      </c>
      <c r="Y43" s="6">
        <v>0.3</v>
      </c>
      <c r="Z43" s="5">
        <v>35</v>
      </c>
      <c r="AA43" s="5"/>
      <c r="AB43" s="5"/>
      <c r="AC43" s="5">
        <v>100</v>
      </c>
    </row>
    <row r="44" spans="1:29" x14ac:dyDescent="0.3">
      <c r="A44" s="27">
        <f>A42+2*A43</f>
        <v>5.9039999999999999</v>
      </c>
      <c r="F44" t="s">
        <v>135</v>
      </c>
      <c r="G44" s="28" t="s">
        <v>168</v>
      </c>
      <c r="Y44" s="6">
        <v>0.4</v>
      </c>
      <c r="Z44" s="5">
        <v>68</v>
      </c>
      <c r="AA44" s="5"/>
      <c r="AB44" s="5"/>
      <c r="AC44" s="5">
        <v>250</v>
      </c>
    </row>
    <row r="45" spans="1:29" x14ac:dyDescent="0.3">
      <c r="A45" s="19">
        <v>0.08</v>
      </c>
      <c r="B45">
        <v>1E-3</v>
      </c>
      <c r="F45" t="s">
        <v>115</v>
      </c>
      <c r="G45" t="s">
        <v>136</v>
      </c>
      <c r="Y45" s="6">
        <v>0.5</v>
      </c>
      <c r="Z45" s="7">
        <f>409.85*Y45^2+2.36*Y45</f>
        <v>103.64250000000001</v>
      </c>
      <c r="AA45" s="5"/>
      <c r="AB45" s="5"/>
      <c r="AC45" s="5">
        <f>1621*Y45^2-58.678*Y45</f>
        <v>375.911</v>
      </c>
    </row>
    <row r="46" spans="1:29" x14ac:dyDescent="0.3">
      <c r="A46" s="20">
        <f>A43*(A45+A76)</f>
        <v>1.7850000000000005E-2</v>
      </c>
      <c r="C46" t="s">
        <v>97</v>
      </c>
      <c r="F46" t="s">
        <v>137</v>
      </c>
    </row>
    <row r="47" spans="1:29" x14ac:dyDescent="0.3">
      <c r="A47" s="20">
        <f>A43*(A45+A75)</f>
        <v>2.3310000000000001E-2</v>
      </c>
      <c r="C47" t="s">
        <v>97</v>
      </c>
      <c r="F47" t="s">
        <v>138</v>
      </c>
    </row>
    <row r="48" spans="1:29" x14ac:dyDescent="0.3">
      <c r="A48" s="20">
        <f>A43*(A45+A74)</f>
        <v>2.0580000000000005E-2</v>
      </c>
      <c r="C48" t="s">
        <v>97</v>
      </c>
      <c r="F48" t="s">
        <v>139</v>
      </c>
    </row>
    <row r="49" spans="1:23" x14ac:dyDescent="0.3">
      <c r="A49" s="3">
        <v>0.75</v>
      </c>
      <c r="C49" t="s">
        <v>8</v>
      </c>
      <c r="F49" t="s">
        <v>143</v>
      </c>
      <c r="G49" t="s">
        <v>145</v>
      </c>
      <c r="J49">
        <f>0.5-I50</f>
        <v>0.47382139034407472</v>
      </c>
    </row>
    <row r="50" spans="1:23" x14ac:dyDescent="0.3">
      <c r="A50" s="21">
        <f>PI()*(A30-B30)^2/4/A47</f>
        <v>0.61406613161383505</v>
      </c>
      <c r="F50" t="s">
        <v>140</v>
      </c>
      <c r="H50">
        <f>SIN(PI()/180)*3</f>
        <v>5.2357219311850535E-2</v>
      </c>
      <c r="I50">
        <f>H50/2</f>
        <v>2.6178609655925267E-2</v>
      </c>
    </row>
    <row r="51" spans="1:23" x14ac:dyDescent="0.3">
      <c r="A51" s="21">
        <f>PI()*(A30+B30)^2/4/A46</f>
        <v>0.89975389598400102</v>
      </c>
      <c r="F51" t="s">
        <v>141</v>
      </c>
    </row>
    <row r="52" spans="1:23" x14ac:dyDescent="0.3">
      <c r="A52" s="21">
        <f>PI()*(A30)^2/4/A48</f>
        <v>0.73735072473285224</v>
      </c>
      <c r="F52" t="s">
        <v>142</v>
      </c>
    </row>
    <row r="53" spans="1:23" ht="15.6" x14ac:dyDescent="0.3">
      <c r="F53" s="14" t="s">
        <v>82</v>
      </c>
    </row>
    <row r="54" spans="1:23" x14ac:dyDescent="0.3">
      <c r="A54" t="s">
        <v>84</v>
      </c>
      <c r="F54" t="s">
        <v>83</v>
      </c>
    </row>
    <row r="55" spans="1:23" x14ac:dyDescent="0.3">
      <c r="A55">
        <v>5.99</v>
      </c>
      <c r="F55" t="s">
        <v>89</v>
      </c>
    </row>
    <row r="56" spans="1:23" x14ac:dyDescent="0.3">
      <c r="A56">
        <f>5.38+0.05</f>
        <v>5.43</v>
      </c>
      <c r="C56" t="s">
        <v>9</v>
      </c>
      <c r="F56" t="s">
        <v>90</v>
      </c>
    </row>
    <row r="57" spans="1:23" x14ac:dyDescent="0.3">
      <c r="A57">
        <f>A55-A56</f>
        <v>0.5600000000000005</v>
      </c>
      <c r="C57" t="s">
        <v>9</v>
      </c>
      <c r="F57" t="s">
        <v>85</v>
      </c>
    </row>
    <row r="58" spans="1:23" ht="28.8" x14ac:dyDescent="0.3">
      <c r="A58">
        <f>(A55+A56)/2</f>
        <v>5.71</v>
      </c>
      <c r="C58" t="s">
        <v>9</v>
      </c>
      <c r="F58" t="s">
        <v>91</v>
      </c>
      <c r="G58" t="s">
        <v>93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v>0.125</v>
      </c>
      <c r="B59">
        <v>1E-3</v>
      </c>
      <c r="C59" t="s">
        <v>9</v>
      </c>
      <c r="F59" t="s">
        <v>88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 s="8">
        <v>500000</v>
      </c>
      <c r="C60" t="s">
        <v>26</v>
      </c>
      <c r="F60" t="s">
        <v>86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8">
        <f>A59*A39/(PI()*((A56/2+A57)^2-(A56/2)^2))/A60</f>
        <v>1.2036359301588946E-4</v>
      </c>
      <c r="C61" t="s">
        <v>9</v>
      </c>
      <c r="F61" t="s">
        <v>87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ht="15.6" x14ac:dyDescent="0.3">
      <c r="A62" s="8"/>
      <c r="F62" s="14" t="s">
        <v>104</v>
      </c>
      <c r="S62" s="5" t="s">
        <v>182</v>
      </c>
      <c r="T62" s="6">
        <f>C72</f>
        <v>0.20143884892086322</v>
      </c>
      <c r="U62" s="5"/>
      <c r="V62" s="5"/>
      <c r="W62" s="5">
        <f>0.00000003*T62^-1.08</f>
        <v>1.6929594858350515E-7</v>
      </c>
    </row>
    <row r="63" spans="1:23" x14ac:dyDescent="0.3">
      <c r="A63" s="17"/>
      <c r="B63" s="17">
        <f>B19</f>
        <v>1E-3</v>
      </c>
      <c r="C63" t="s">
        <v>9</v>
      </c>
      <c r="F63" t="s">
        <v>105</v>
      </c>
      <c r="S63" s="5" t="s">
        <v>183</v>
      </c>
      <c r="T63" s="6">
        <f>C73</f>
        <v>0.3884892086330935</v>
      </c>
      <c r="U63" s="5"/>
      <c r="V63" s="5"/>
      <c r="W63" s="5">
        <f>0.00000003*T63^-1.08</f>
        <v>8.3289830522233246E-8</v>
      </c>
    </row>
    <row r="64" spans="1:23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1.2036359301588946E-4</v>
      </c>
      <c r="C67" t="s">
        <v>9</v>
      </c>
      <c r="F67" t="s">
        <v>123</v>
      </c>
    </row>
    <row r="68" spans="1:6" x14ac:dyDescent="0.3">
      <c r="A68" s="17"/>
      <c r="B68" s="17">
        <f>B30</f>
        <v>4.0000000000000001E-3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1.8120363593015887E-2</v>
      </c>
      <c r="C70" t="s">
        <v>9</v>
      </c>
      <c r="F70" t="s">
        <v>110</v>
      </c>
    </row>
    <row r="71" spans="1:6" x14ac:dyDescent="0.3">
      <c r="A71" s="18">
        <f>A30-A45-A74</f>
        <v>4.0999999999999995E-2</v>
      </c>
      <c r="B71" s="17"/>
      <c r="C71" s="21">
        <f>A71/A30</f>
        <v>0.29496402877697836</v>
      </c>
      <c r="F71" t="s">
        <v>146</v>
      </c>
    </row>
    <row r="72" spans="1:6" x14ac:dyDescent="0.3">
      <c r="A72" s="18">
        <f>A30-A45-A75</f>
        <v>2.799999999999999E-2</v>
      </c>
      <c r="B72" s="17"/>
      <c r="C72" s="21">
        <f>A72/A30</f>
        <v>0.20143884892086322</v>
      </c>
      <c r="F72" t="s">
        <v>147</v>
      </c>
    </row>
    <row r="73" spans="1:6" x14ac:dyDescent="0.3">
      <c r="A73" s="17">
        <f>A30-A45-A76</f>
        <v>5.3999999999999999E-2</v>
      </c>
      <c r="B73" s="17"/>
      <c r="C73" s="21">
        <f>A73/A30</f>
        <v>0.3884892086330935</v>
      </c>
      <c r="F73" t="s">
        <v>148</v>
      </c>
    </row>
    <row r="74" spans="1:6" x14ac:dyDescent="0.3">
      <c r="A74" s="17">
        <f>A19+A25-A59-A9</f>
        <v>1.8000000000000016E-2</v>
      </c>
      <c r="C74" t="s">
        <v>9</v>
      </c>
      <c r="F74" t="s">
        <v>130</v>
      </c>
    </row>
    <row r="75" spans="1:6" x14ac:dyDescent="0.3">
      <c r="A75" s="17">
        <f>A19+B19+A25+B25-A59+B59-A9+B9</f>
        <v>3.1000000000000021E-2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5.0000000000000131E-3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19" x14ac:dyDescent="0.3">
      <c r="A81">
        <v>0.26140000000000002</v>
      </c>
      <c r="C81" t="s">
        <v>9</v>
      </c>
      <c r="F81" t="s">
        <v>77</v>
      </c>
    </row>
    <row r="82" spans="1:19" x14ac:dyDescent="0.3">
      <c r="A82">
        <f>PI()*A81^2/4</f>
        <v>5.3666225089021115E-2</v>
      </c>
      <c r="C82" t="s">
        <v>97</v>
      </c>
      <c r="F82" t="s">
        <v>94</v>
      </c>
    </row>
    <row r="83" spans="1:19" x14ac:dyDescent="0.3">
      <c r="A83" s="4">
        <f>A39/A78</f>
        <v>845.60707230516857</v>
      </c>
      <c r="C83" t="s">
        <v>39</v>
      </c>
      <c r="F83" t="s">
        <v>95</v>
      </c>
    </row>
    <row r="84" spans="1:19" x14ac:dyDescent="0.3">
      <c r="A84">
        <f>A83/A82</f>
        <v>15756.783170466753</v>
      </c>
      <c r="C84" t="s">
        <v>26</v>
      </c>
      <c r="F84" t="s">
        <v>96</v>
      </c>
    </row>
    <row r="85" spans="1:19" x14ac:dyDescent="0.3">
      <c r="A85">
        <v>5510</v>
      </c>
      <c r="C85" t="s">
        <v>39</v>
      </c>
      <c r="F85" t="s">
        <v>98</v>
      </c>
      <c r="G85" t="s">
        <v>99</v>
      </c>
    </row>
    <row r="86" spans="1:19" x14ac:dyDescent="0.3">
      <c r="A86">
        <v>30000</v>
      </c>
      <c r="C86" t="s">
        <v>26</v>
      </c>
      <c r="F86" t="s">
        <v>100</v>
      </c>
      <c r="G86" t="s">
        <v>99</v>
      </c>
    </row>
    <row r="87" spans="1:19" x14ac:dyDescent="0.3">
      <c r="A87">
        <v>95000</v>
      </c>
      <c r="C87" t="s">
        <v>26</v>
      </c>
      <c r="F87" t="s">
        <v>101</v>
      </c>
      <c r="G87" t="s">
        <v>99</v>
      </c>
    </row>
    <row r="88" spans="1:19" x14ac:dyDescent="0.3">
      <c r="A88">
        <v>190</v>
      </c>
      <c r="C88" t="s">
        <v>52</v>
      </c>
      <c r="F88" t="s">
        <v>102</v>
      </c>
      <c r="G88" t="s">
        <v>99</v>
      </c>
    </row>
    <row r="90" spans="1:19" x14ac:dyDescent="0.3">
      <c r="A90">
        <f>A94*PI()*A5^2/4</f>
        <v>415.63270806992961</v>
      </c>
      <c r="C90" t="s">
        <v>39</v>
      </c>
      <c r="F90" t="s">
        <v>37</v>
      </c>
    </row>
    <row r="93" spans="1:19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19" x14ac:dyDescent="0.3">
      <c r="A94">
        <v>14.7</v>
      </c>
      <c r="C94" t="s">
        <v>26</v>
      </c>
      <c r="F94" t="s">
        <v>53</v>
      </c>
      <c r="O94" s="22"/>
      <c r="P94" s="22"/>
      <c r="Q94" s="56"/>
      <c r="R94" s="56"/>
      <c r="S94" s="56"/>
    </row>
    <row r="95" spans="1:19" x14ac:dyDescent="0.3">
      <c r="A95">
        <v>1</v>
      </c>
      <c r="C95" t="s">
        <v>8</v>
      </c>
      <c r="F95" t="s">
        <v>27</v>
      </c>
      <c r="O95" s="22"/>
      <c r="P95" s="23"/>
      <c r="Q95" s="52"/>
      <c r="R95" s="22"/>
      <c r="S95" s="22"/>
    </row>
    <row r="96" spans="1:19" x14ac:dyDescent="0.3">
      <c r="A96">
        <f>A33/100</f>
        <v>5.0000000000000001E-3</v>
      </c>
      <c r="C96" t="s">
        <v>8</v>
      </c>
      <c r="F96" t="s">
        <v>28</v>
      </c>
      <c r="O96" s="22"/>
      <c r="P96" s="23"/>
      <c r="Q96" s="52"/>
      <c r="R96" s="22"/>
      <c r="S96" s="22"/>
    </row>
    <row r="97" spans="1:19" x14ac:dyDescent="0.3">
      <c r="A97">
        <f>0.7*A93*A29*A94*A95*(1-A96)^2</f>
        <v>2.94086347124976E-7</v>
      </c>
      <c r="C97" t="s">
        <v>23</v>
      </c>
      <c r="F97" t="s">
        <v>30</v>
      </c>
      <c r="O97" s="22"/>
      <c r="P97" s="23"/>
      <c r="Q97" s="52"/>
      <c r="R97" s="22"/>
      <c r="S97" s="22"/>
    </row>
    <row r="98" spans="1:19" x14ac:dyDescent="0.3">
      <c r="C98" t="s">
        <v>32</v>
      </c>
      <c r="F98" t="s">
        <v>29</v>
      </c>
      <c r="O98" s="22"/>
      <c r="P98" s="23"/>
      <c r="Q98" s="22"/>
      <c r="R98" s="22"/>
      <c r="S98" s="22"/>
    </row>
    <row r="99" spans="1:19" x14ac:dyDescent="0.3">
      <c r="O99" s="22"/>
      <c r="P99" s="23"/>
      <c r="Q99" s="22"/>
      <c r="R99" s="22"/>
      <c r="S99" s="22"/>
    </row>
    <row r="101" spans="1:19" x14ac:dyDescent="0.3">
      <c r="C101" s="1" t="s">
        <v>44</v>
      </c>
      <c r="D101" s="1"/>
      <c r="E101" s="1"/>
      <c r="F101" t="s">
        <v>45</v>
      </c>
    </row>
    <row r="102" spans="1:19" x14ac:dyDescent="0.3">
      <c r="F102" t="s">
        <v>46</v>
      </c>
    </row>
    <row r="103" spans="1:19" x14ac:dyDescent="0.3">
      <c r="F103" t="s">
        <v>56</v>
      </c>
    </row>
    <row r="104" spans="1:19" x14ac:dyDescent="0.3">
      <c r="A104">
        <f>(A29+A30)/2</f>
        <v>2.8115000000000001</v>
      </c>
      <c r="C104" t="s">
        <v>9</v>
      </c>
      <c r="F104" t="s">
        <v>47</v>
      </c>
    </row>
    <row r="105" spans="1:19" x14ac:dyDescent="0.3">
      <c r="A105">
        <f>A11*A9^3/(12*(1-A12^2))</f>
        <v>383953.6363250736</v>
      </c>
      <c r="C105" t="s">
        <v>52</v>
      </c>
      <c r="F105" t="s">
        <v>48</v>
      </c>
    </row>
    <row r="106" spans="1:19" x14ac:dyDescent="0.3">
      <c r="A106">
        <f>1/64</f>
        <v>1.5625E-2</v>
      </c>
      <c r="C106" t="s">
        <v>8</v>
      </c>
      <c r="F106" t="s">
        <v>54</v>
      </c>
    </row>
    <row r="107" spans="1:19" x14ac:dyDescent="0.3">
      <c r="A107">
        <f>(1-(1-A12)/4)/4</f>
        <v>0.19793749999999999</v>
      </c>
      <c r="C107" t="s">
        <v>8</v>
      </c>
      <c r="F107" t="s">
        <v>55</v>
      </c>
    </row>
    <row r="108" spans="1:19" x14ac:dyDescent="0.3">
      <c r="A108">
        <f>(-A94*A104^4)*(5+A12)/(64*A105*(1+A12))</f>
        <v>-1.6549258229565312E-4</v>
      </c>
      <c r="C108" t="s">
        <v>9</v>
      </c>
      <c r="F108" t="s">
        <v>57</v>
      </c>
    </row>
    <row r="109" spans="1:19" x14ac:dyDescent="0.3">
      <c r="A109">
        <f>A94*A104^2*(3+A12)/16</f>
        <v>22.99966927784531</v>
      </c>
      <c r="C109" t="s">
        <v>58</v>
      </c>
      <c r="F109" t="s">
        <v>59</v>
      </c>
    </row>
    <row r="110" spans="1:19" x14ac:dyDescent="0.3">
      <c r="A110">
        <f>6*A109/A9^2</f>
        <v>245.32980563034997</v>
      </c>
      <c r="C110" t="s">
        <v>26</v>
      </c>
      <c r="D110" s="8">
        <f>A110*6894.75729</f>
        <v>1691489.4658241384</v>
      </c>
      <c r="E110" t="s">
        <v>60</v>
      </c>
      <c r="F110" t="s">
        <v>61</v>
      </c>
    </row>
    <row r="111" spans="1:19" x14ac:dyDescent="0.3">
      <c r="A111" s="11">
        <v>3</v>
      </c>
      <c r="B111" s="11"/>
      <c r="C111" t="s">
        <v>8</v>
      </c>
      <c r="F111" t="s">
        <v>63</v>
      </c>
    </row>
    <row r="112" spans="1:19" x14ac:dyDescent="0.3">
      <c r="A112" s="11">
        <f>A13/A110/3-1</f>
        <v>8.8532488693603693</v>
      </c>
      <c r="B112" s="11"/>
      <c r="C112" t="s">
        <v>8</v>
      </c>
      <c r="F112" t="s">
        <v>62</v>
      </c>
    </row>
    <row r="113" spans="1:3" x14ac:dyDescent="0.3">
      <c r="A113" s="8"/>
      <c r="B113" s="8"/>
    </row>
    <row r="115" spans="1:3" x14ac:dyDescent="0.3">
      <c r="C115" t="s">
        <v>13</v>
      </c>
    </row>
    <row r="116" spans="1:3" x14ac:dyDescent="0.3">
      <c r="C116" t="s">
        <v>14</v>
      </c>
    </row>
    <row r="117" spans="1:3" x14ac:dyDescent="0.3">
      <c r="C117" t="s">
        <v>15</v>
      </c>
    </row>
    <row r="118" spans="1:3" x14ac:dyDescent="0.3">
      <c r="C118" t="s">
        <v>16</v>
      </c>
    </row>
    <row r="119" spans="1:3" x14ac:dyDescent="0.3">
      <c r="C119" t="s">
        <v>19</v>
      </c>
    </row>
    <row r="120" spans="1:3" x14ac:dyDescent="0.3">
      <c r="C120" t="s">
        <v>20</v>
      </c>
    </row>
    <row r="121" spans="1:3" x14ac:dyDescent="0.3">
      <c r="C121" t="s">
        <v>21</v>
      </c>
    </row>
    <row r="122" spans="1:3" x14ac:dyDescent="0.3">
      <c r="C122" t="s">
        <v>22</v>
      </c>
    </row>
    <row r="123" spans="1:3" x14ac:dyDescent="0.3">
      <c r="C123" t="s">
        <v>33</v>
      </c>
    </row>
    <row r="124" spans="1:3" x14ac:dyDescent="0.3">
      <c r="C124" t="s">
        <v>34</v>
      </c>
    </row>
    <row r="138" spans="8:10" x14ac:dyDescent="0.3"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1"/>
  <sheetViews>
    <sheetView zoomScaleNormal="100" workbookViewId="0">
      <selection activeCell="G9" sqref="G9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109375" customWidth="1"/>
    <col min="22" max="23" width="17.554687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79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/>
      <c r="AB4" s="5"/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Y5" s="6">
        <v>0.05</v>
      </c>
      <c r="Z5" s="5">
        <v>3</v>
      </c>
      <c r="AA5" s="5"/>
      <c r="AB5" s="5"/>
      <c r="AC5" s="5">
        <v>15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7</v>
      </c>
      <c r="AA6" s="5"/>
      <c r="AB6" s="5"/>
      <c r="AC6" s="5">
        <v>28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16</v>
      </c>
      <c r="AA7" s="5"/>
      <c r="AB7" s="5"/>
      <c r="AC7" s="5">
        <v>55</v>
      </c>
    </row>
    <row r="8" spans="1:29" ht="15" x14ac:dyDescent="0.25">
      <c r="A8">
        <v>5.38</v>
      </c>
      <c r="C8" t="s">
        <v>9</v>
      </c>
      <c r="F8" t="s">
        <v>4</v>
      </c>
      <c r="Y8" s="6">
        <v>0.3</v>
      </c>
      <c r="Z8" s="5">
        <v>35</v>
      </c>
      <c r="AA8" s="5"/>
      <c r="AB8" s="5"/>
      <c r="AC8" s="5">
        <v>100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68</v>
      </c>
      <c r="AA9" s="5"/>
      <c r="AB9" s="5"/>
      <c r="AC9" s="5">
        <v>250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409.85*Y10^2+2.36*Y10</f>
        <v>103.64250000000001</v>
      </c>
      <c r="AA10" s="5"/>
      <c r="AB10" s="5"/>
      <c r="AC10" s="5">
        <f>1621*Y10^2-58.678*Y10</f>
        <v>375.911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5.38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x14ac:dyDescent="0.3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x14ac:dyDescent="0.3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x14ac:dyDescent="0.3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5.125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18">
        <f>A9/2+A40-B19-B59-B25-B9</f>
        <v>0.39700000000000002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195</v>
      </c>
      <c r="C28" t="s">
        <v>8</v>
      </c>
      <c r="F28" t="s">
        <v>7</v>
      </c>
    </row>
    <row r="29" spans="1:7" x14ac:dyDescent="0.3">
      <c r="A29" s="18">
        <v>5.2249999999999996</v>
      </c>
      <c r="B29">
        <v>3.6999999999999998E-2</v>
      </c>
      <c r="C29" t="s">
        <v>9</v>
      </c>
      <c r="F29" t="s">
        <v>25</v>
      </c>
    </row>
    <row r="30" spans="1:7" x14ac:dyDescent="0.3">
      <c r="A30" s="18">
        <v>0.21</v>
      </c>
      <c r="B30">
        <v>5.0000000000000001E-3</v>
      </c>
      <c r="C30" t="s">
        <v>9</v>
      </c>
      <c r="F30" t="s">
        <v>5</v>
      </c>
    </row>
    <row r="31" spans="1:7" x14ac:dyDescent="0.3">
      <c r="A31" s="18">
        <f>A29+A30</f>
        <v>5.4349999999999996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30" x14ac:dyDescent="0.3">
      <c r="A33" s="3">
        <v>0.5</v>
      </c>
      <c r="C33" t="s">
        <v>8</v>
      </c>
      <c r="F33" t="s">
        <v>144</v>
      </c>
      <c r="G33" t="s">
        <v>43</v>
      </c>
    </row>
    <row r="34" spans="1:30" x14ac:dyDescent="0.3">
      <c r="A34" s="8">
        <f>W62*PI()*A31</f>
        <v>2.1770871252267152E-6</v>
      </c>
      <c r="C34" t="s">
        <v>32</v>
      </c>
      <c r="F34" t="s">
        <v>204</v>
      </c>
    </row>
    <row r="35" spans="1:30" x14ac:dyDescent="0.3">
      <c r="A35" s="8">
        <f>W63*PI()*A31</f>
        <v>1.4331897509118144E-6</v>
      </c>
      <c r="C35" t="s">
        <v>32</v>
      </c>
      <c r="F35" t="s">
        <v>203</v>
      </c>
    </row>
    <row r="36" spans="1:30" x14ac:dyDescent="0.3">
      <c r="A36" s="4">
        <f>(AC10+Z10)/2</f>
        <v>239.77674999999999</v>
      </c>
      <c r="B36" s="4">
        <f>(AC10-Z10)/2</f>
        <v>136.13425000000001</v>
      </c>
      <c r="C36" t="s">
        <v>38</v>
      </c>
      <c r="F36" t="s">
        <v>35</v>
      </c>
      <c r="Y36" s="22"/>
      <c r="Z36" s="22"/>
      <c r="AA36" s="22"/>
      <c r="AB36" s="22"/>
      <c r="AC36" s="22"/>
      <c r="AD36" s="22"/>
    </row>
    <row r="37" spans="1:30" x14ac:dyDescent="0.3">
      <c r="A37" s="4">
        <f>A36*PI()*($A29+$A30)</f>
        <v>4094.081562699394</v>
      </c>
      <c r="B37" s="4">
        <f>B36*PI()*($A29+$A30)</f>
        <v>2324.4318849801325</v>
      </c>
      <c r="C37" t="s">
        <v>39</v>
      </c>
      <c r="F37" t="s">
        <v>36</v>
      </c>
      <c r="Y37" s="22"/>
      <c r="Z37" s="22"/>
      <c r="AA37" s="22"/>
      <c r="AB37" s="22"/>
      <c r="AC37" s="22"/>
      <c r="AD37" s="22"/>
    </row>
    <row r="38" spans="1:30" x14ac:dyDescent="0.3">
      <c r="A38" s="25">
        <f>A37-B37</f>
        <v>1769.6496777192615</v>
      </c>
      <c r="B38" s="4"/>
      <c r="C38" t="s">
        <v>39</v>
      </c>
      <c r="F38" t="s">
        <v>80</v>
      </c>
      <c r="Y38" s="22"/>
      <c r="Z38" s="22"/>
      <c r="AA38" s="22"/>
      <c r="AB38" s="22"/>
      <c r="AC38" s="22"/>
      <c r="AD38" s="22"/>
    </row>
    <row r="39" spans="1:30" x14ac:dyDescent="0.3">
      <c r="A39" s="25">
        <f>A37+B37</f>
        <v>6418.5134476795265</v>
      </c>
      <c r="B39" s="4"/>
      <c r="C39" t="s">
        <v>39</v>
      </c>
      <c r="F39" t="s">
        <v>81</v>
      </c>
      <c r="Y39" s="23"/>
      <c r="Z39" s="22"/>
      <c r="AA39" s="22"/>
      <c r="AB39" s="22"/>
      <c r="AC39" s="22"/>
      <c r="AD39" s="22"/>
    </row>
    <row r="40" spans="1:30" x14ac:dyDescent="0.3">
      <c r="A40" s="18">
        <v>3.5000000000000003E-2</v>
      </c>
      <c r="B40" s="4"/>
      <c r="C40" t="s">
        <v>9</v>
      </c>
      <c r="F40" t="s">
        <v>132</v>
      </c>
      <c r="G40" t="s">
        <v>134</v>
      </c>
      <c r="H40" s="3"/>
      <c r="Y40" s="23"/>
      <c r="Z40" s="22"/>
      <c r="AA40" s="22"/>
      <c r="AB40" s="22"/>
      <c r="AC40" s="22"/>
      <c r="AD40" s="22"/>
    </row>
    <row r="41" spans="1:30" ht="15.6" x14ac:dyDescent="0.3">
      <c r="A41" s="4"/>
      <c r="B41" s="4"/>
      <c r="F41" s="14" t="s">
        <v>112</v>
      </c>
      <c r="Y41" s="23"/>
      <c r="Z41" s="22"/>
      <c r="AA41" s="22"/>
      <c r="AB41" s="22"/>
      <c r="AC41" s="22"/>
      <c r="AD41" s="22"/>
    </row>
    <row r="42" spans="1:30" x14ac:dyDescent="0.3">
      <c r="A42" s="18">
        <f>A29</f>
        <v>5.2249999999999996</v>
      </c>
      <c r="B42">
        <v>1E-3</v>
      </c>
      <c r="F42" t="s">
        <v>113</v>
      </c>
      <c r="G42" t="s">
        <v>136</v>
      </c>
      <c r="Y42" s="23"/>
      <c r="Z42" s="22"/>
      <c r="AA42" s="22"/>
      <c r="AB42" s="22"/>
      <c r="AC42" s="22"/>
      <c r="AD42" s="22"/>
    </row>
    <row r="43" spans="1:30" x14ac:dyDescent="0.3">
      <c r="A43" s="19">
        <v>0.315</v>
      </c>
      <c r="B43">
        <v>1E-3</v>
      </c>
      <c r="F43" t="s">
        <v>114</v>
      </c>
      <c r="G43" t="s">
        <v>136</v>
      </c>
      <c r="Y43" s="23"/>
      <c r="Z43" s="22"/>
      <c r="AA43" s="22"/>
      <c r="AB43" s="22"/>
      <c r="AC43" s="22"/>
      <c r="AD43" s="22"/>
    </row>
    <row r="44" spans="1:30" x14ac:dyDescent="0.3">
      <c r="A44" s="20">
        <f>A42+2*A43</f>
        <v>5.8549999999999995</v>
      </c>
      <c r="F44" t="s">
        <v>135</v>
      </c>
      <c r="G44" s="13" t="s">
        <v>178</v>
      </c>
      <c r="Y44" s="23"/>
      <c r="Z44" s="22"/>
      <c r="AA44" s="22"/>
      <c r="AB44" s="22"/>
      <c r="AC44" s="22"/>
      <c r="AD44" s="22"/>
    </row>
    <row r="45" spans="1:30" x14ac:dyDescent="0.3">
      <c r="A45" s="19">
        <v>0.12</v>
      </c>
      <c r="B45">
        <v>1E-3</v>
      </c>
      <c r="F45" t="s">
        <v>115</v>
      </c>
      <c r="G45" t="s">
        <v>136</v>
      </c>
      <c r="Y45" s="23"/>
      <c r="Z45" s="24"/>
      <c r="AA45" s="22"/>
      <c r="AB45" s="22"/>
      <c r="AC45" s="22"/>
      <c r="AD45" s="22"/>
    </row>
    <row r="46" spans="1:30" x14ac:dyDescent="0.3">
      <c r="A46" s="20">
        <f>A43*(A45+A76)</f>
        <v>4.0635000000000004E-2</v>
      </c>
      <c r="C46" t="s">
        <v>97</v>
      </c>
      <c r="F46" t="s">
        <v>137</v>
      </c>
    </row>
    <row r="47" spans="1:30" x14ac:dyDescent="0.3">
      <c r="A47" s="20">
        <f>A43*(A45+A75)</f>
        <v>4.8825000000000007E-2</v>
      </c>
      <c r="C47" t="s">
        <v>97</v>
      </c>
      <c r="F47" t="s">
        <v>138</v>
      </c>
    </row>
    <row r="48" spans="1:30" x14ac:dyDescent="0.3">
      <c r="A48" s="20">
        <f>A43*(A45+A74)</f>
        <v>4.4730000000000006E-2</v>
      </c>
      <c r="C48" t="s">
        <v>97</v>
      </c>
      <c r="F48" t="s">
        <v>139</v>
      </c>
    </row>
    <row r="49" spans="1:23" x14ac:dyDescent="0.3">
      <c r="A49" s="3">
        <v>0.75</v>
      </c>
      <c r="C49" t="s">
        <v>8</v>
      </c>
      <c r="F49" t="s">
        <v>143</v>
      </c>
      <c r="G49" t="s">
        <v>145</v>
      </c>
    </row>
    <row r="50" spans="1:23" x14ac:dyDescent="0.3">
      <c r="A50" s="21">
        <f>PI()*(A30-B30)^2/4/A47</f>
        <v>0.67601347294987713</v>
      </c>
      <c r="F50" t="s">
        <v>140</v>
      </c>
    </row>
    <row r="51" spans="1:23" x14ac:dyDescent="0.3">
      <c r="A51" s="21">
        <f>PI()*(A30+B30)^2/4/A46</f>
        <v>0.89344235518757331</v>
      </c>
      <c r="F51" t="s">
        <v>141</v>
      </c>
    </row>
    <row r="52" spans="1:23" x14ac:dyDescent="0.3">
      <c r="A52" s="21">
        <f>PI()*(A30)^2/4/A48</f>
        <v>0.77433621743410375</v>
      </c>
      <c r="F52" t="s">
        <v>142</v>
      </c>
    </row>
    <row r="53" spans="1:23" ht="15.6" x14ac:dyDescent="0.3">
      <c r="F53" s="14" t="s">
        <v>82</v>
      </c>
    </row>
    <row r="54" spans="1:23" x14ac:dyDescent="0.3">
      <c r="A54" t="s">
        <v>84</v>
      </c>
      <c r="F54" t="s">
        <v>83</v>
      </c>
    </row>
    <row r="55" spans="1:23" x14ac:dyDescent="0.3">
      <c r="A55">
        <v>5.99</v>
      </c>
      <c r="F55" t="s">
        <v>89</v>
      </c>
    </row>
    <row r="56" spans="1:23" x14ac:dyDescent="0.3">
      <c r="A56">
        <f>5.38+0.05</f>
        <v>5.43</v>
      </c>
      <c r="C56" t="s">
        <v>9</v>
      </c>
      <c r="F56" t="s">
        <v>90</v>
      </c>
    </row>
    <row r="57" spans="1:23" x14ac:dyDescent="0.3">
      <c r="A57">
        <f>A55-A56</f>
        <v>0.5600000000000005</v>
      </c>
      <c r="C57" t="s">
        <v>9</v>
      </c>
      <c r="F57" t="s">
        <v>85</v>
      </c>
    </row>
    <row r="58" spans="1:23" ht="28.8" x14ac:dyDescent="0.3">
      <c r="A58">
        <f>(A55+A56)/2</f>
        <v>5.71</v>
      </c>
      <c r="C58" t="s">
        <v>9</v>
      </c>
      <c r="F58" t="s">
        <v>91</v>
      </c>
      <c r="G58" t="s">
        <v>93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v>0.125</v>
      </c>
      <c r="B59">
        <v>1E-3</v>
      </c>
      <c r="C59" t="s">
        <v>9</v>
      </c>
      <c r="F59" t="s">
        <v>88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 s="8">
        <v>500000</v>
      </c>
      <c r="C60" t="s">
        <v>26</v>
      </c>
      <c r="F60" t="s">
        <v>86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8">
        <f>A59*A39/(PI()*((A56/2+A57)^2-(A56/2)^2))/A60</f>
        <v>1.5226838518065807E-4</v>
      </c>
      <c r="C61" t="s">
        <v>9</v>
      </c>
      <c r="F61" t="s">
        <v>87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ht="15.6" x14ac:dyDescent="0.3">
      <c r="A62" s="8"/>
      <c r="F62" s="14" t="s">
        <v>104</v>
      </c>
      <c r="S62" s="5" t="s">
        <v>182</v>
      </c>
      <c r="T62" s="6">
        <f>C72</f>
        <v>0.26190476190476181</v>
      </c>
      <c r="U62" s="5"/>
      <c r="V62" s="5"/>
      <c r="W62" s="5">
        <f>0.00000003*T62^-1.08</f>
        <v>1.2750475713764706E-7</v>
      </c>
    </row>
    <row r="63" spans="1:23" x14ac:dyDescent="0.3">
      <c r="A63" s="17"/>
      <c r="B63" s="17">
        <f>B19</f>
        <v>1E-3</v>
      </c>
      <c r="C63" t="s">
        <v>9</v>
      </c>
      <c r="F63" t="s">
        <v>105</v>
      </c>
      <c r="S63" s="5" t="s">
        <v>183</v>
      </c>
      <c r="T63" s="6">
        <f>C73</f>
        <v>0.38571428571428562</v>
      </c>
      <c r="U63" s="5"/>
      <c r="V63" s="5"/>
      <c r="W63" s="5">
        <f>0.00000003*T63^-1.08</f>
        <v>8.393716034820883E-8</v>
      </c>
    </row>
    <row r="64" spans="1:23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1.5226838518065807E-4</v>
      </c>
      <c r="C67" t="s">
        <v>9</v>
      </c>
      <c r="F67" t="s">
        <v>123</v>
      </c>
    </row>
    <row r="68" spans="1:6" x14ac:dyDescent="0.3">
      <c r="A68" s="17"/>
      <c r="B68" s="17">
        <f>B30</f>
        <v>5.0000000000000001E-3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1.9152268385180658E-2</v>
      </c>
      <c r="C70" t="s">
        <v>9</v>
      </c>
      <c r="F70" t="s">
        <v>110</v>
      </c>
    </row>
    <row r="71" spans="1:6" x14ac:dyDescent="0.3">
      <c r="A71" s="18">
        <f>A30-A45-A74</f>
        <v>6.7999999999999977E-2</v>
      </c>
      <c r="B71" s="17"/>
      <c r="C71" s="21">
        <f>A71/A30</f>
        <v>0.32380952380952371</v>
      </c>
      <c r="F71" t="s">
        <v>146</v>
      </c>
    </row>
    <row r="72" spans="1:6" x14ac:dyDescent="0.3">
      <c r="A72" s="18">
        <f>A30-A45-A75</f>
        <v>5.4999999999999973E-2</v>
      </c>
      <c r="B72" s="17"/>
      <c r="C72" s="21">
        <f>A72/A30</f>
        <v>0.26190476190476181</v>
      </c>
      <c r="F72" t="s">
        <v>147</v>
      </c>
    </row>
    <row r="73" spans="1:6" x14ac:dyDescent="0.3">
      <c r="A73" s="17">
        <f>A30-A45-A76</f>
        <v>8.0999999999999975E-2</v>
      </c>
      <c r="B73" s="17"/>
      <c r="C73" s="21">
        <f>A73/A30</f>
        <v>0.38571428571428562</v>
      </c>
      <c r="F73" t="s">
        <v>148</v>
      </c>
    </row>
    <row r="74" spans="1:6" x14ac:dyDescent="0.3">
      <c r="A74" s="17">
        <f>A19+A25-A59-A9</f>
        <v>2.200000000000002E-2</v>
      </c>
      <c r="C74" t="s">
        <v>9</v>
      </c>
      <c r="F74" t="s">
        <v>130</v>
      </c>
    </row>
    <row r="75" spans="1:6" x14ac:dyDescent="0.3">
      <c r="A75" s="17">
        <f>A19+B19+A25+B25-A59+B59-A9+B9</f>
        <v>3.5000000000000024E-2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9.0000000000000167E-3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1069.752241279921</v>
      </c>
      <c r="C83" t="s">
        <v>39</v>
      </c>
      <c r="F83" t="s">
        <v>95</v>
      </c>
    </row>
    <row r="84" spans="1:7" x14ac:dyDescent="0.3">
      <c r="A84">
        <f>A83/A82</f>
        <v>19933.435592039954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2.8019714874690001E-7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162</v>
      </c>
      <c r="D101" s="1"/>
      <c r="E101" s="1"/>
    </row>
    <row r="102" spans="1:6" x14ac:dyDescent="0.3">
      <c r="C102" s="1"/>
      <c r="D102" s="26" t="s">
        <v>156</v>
      </c>
      <c r="E102" s="1"/>
    </row>
    <row r="103" spans="1:6" x14ac:dyDescent="0.3">
      <c r="C103" s="1"/>
      <c r="D103" s="1"/>
      <c r="E103" s="1"/>
      <c r="F103" t="s">
        <v>45</v>
      </c>
    </row>
    <row r="104" spans="1:6" x14ac:dyDescent="0.3">
      <c r="F104" t="s">
        <v>46</v>
      </c>
    </row>
    <row r="105" spans="1:6" x14ac:dyDescent="0.3">
      <c r="F105" t="s">
        <v>56</v>
      </c>
    </row>
    <row r="106" spans="1:6" x14ac:dyDescent="0.3">
      <c r="A106">
        <f>(A29+A30)/2</f>
        <v>2.7174999999999998</v>
      </c>
      <c r="C106" t="s">
        <v>9</v>
      </c>
      <c r="F106" t="s">
        <v>47</v>
      </c>
    </row>
    <row r="107" spans="1:6" x14ac:dyDescent="0.3">
      <c r="A107">
        <f>A11*A9^3/(12*(1-A12^2))</f>
        <v>383953.6363250736</v>
      </c>
      <c r="C107" t="s">
        <v>52</v>
      </c>
      <c r="F107" t="s">
        <v>48</v>
      </c>
    </row>
    <row r="108" spans="1:6" x14ac:dyDescent="0.3">
      <c r="A108">
        <f>1/64</f>
        <v>1.5625E-2</v>
      </c>
      <c r="C108" t="s">
        <v>8</v>
      </c>
      <c r="F108" t="s">
        <v>54</v>
      </c>
    </row>
    <row r="109" spans="1:6" x14ac:dyDescent="0.3">
      <c r="A109">
        <f>(1-(1-A12)/4)/4</f>
        <v>0.19793749999999999</v>
      </c>
      <c r="C109" t="s">
        <v>8</v>
      </c>
      <c r="F109" t="s">
        <v>55</v>
      </c>
    </row>
    <row r="110" spans="1:6" x14ac:dyDescent="0.3">
      <c r="A110">
        <f>(-A94*A106^4)*(5+A12)/(64*A107*(1+A12))</f>
        <v>-1.4444562496278068E-4</v>
      </c>
      <c r="C110" t="s">
        <v>9</v>
      </c>
      <c r="F110" t="s">
        <v>57</v>
      </c>
    </row>
    <row r="111" spans="1:6" x14ac:dyDescent="0.3">
      <c r="A111">
        <f>A94*A106^2*(3+A12)/16</f>
        <v>21.487432280507807</v>
      </c>
      <c r="C111" t="s">
        <v>58</v>
      </c>
      <c r="F111" t="s">
        <v>59</v>
      </c>
    </row>
    <row r="112" spans="1:6" x14ac:dyDescent="0.3">
      <c r="A112">
        <f>6*A111/A9^2</f>
        <v>229.19927765874996</v>
      </c>
      <c r="C112" t="s">
        <v>26</v>
      </c>
      <c r="D112" s="8">
        <f>A112*6894.75729</f>
        <v>1580273.3905004004</v>
      </c>
      <c r="E112" t="s">
        <v>60</v>
      </c>
      <c r="F112" t="s">
        <v>61</v>
      </c>
    </row>
    <row r="113" spans="1:6" x14ac:dyDescent="0.3">
      <c r="A113" s="11">
        <v>4</v>
      </c>
      <c r="B113" s="11"/>
      <c r="C113" t="s">
        <v>8</v>
      </c>
      <c r="F113" t="s">
        <v>63</v>
      </c>
    </row>
    <row r="114" spans="1:6" x14ac:dyDescent="0.3">
      <c r="A114" s="11">
        <f>A13/A112/A113-1</f>
        <v>6.91002371813767</v>
      </c>
      <c r="B114" s="11"/>
      <c r="C114" t="s">
        <v>8</v>
      </c>
      <c r="F114" t="s">
        <v>62</v>
      </c>
    </row>
    <row r="115" spans="1:6" x14ac:dyDescent="0.3">
      <c r="A115" s="8"/>
      <c r="B115" s="8"/>
      <c r="D115" s="26" t="s">
        <v>157</v>
      </c>
    </row>
    <row r="116" spans="1:6" x14ac:dyDescent="0.3">
      <c r="A116" s="4">
        <f>A39</f>
        <v>6418.5134476795265</v>
      </c>
      <c r="C116" t="s">
        <v>39</v>
      </c>
      <c r="F116" t="s">
        <v>158</v>
      </c>
    </row>
    <row r="117" spans="1:6" x14ac:dyDescent="0.3">
      <c r="A117">
        <f>A116/(PI()*(A44^2-A42^2)/4)</f>
        <v>1170.7502635952101</v>
      </c>
      <c r="C117" t="s">
        <v>26</v>
      </c>
      <c r="F117" t="s">
        <v>159</v>
      </c>
    </row>
    <row r="118" spans="1:6" x14ac:dyDescent="0.3">
      <c r="A118" s="8">
        <f>D118/6894.7572</f>
        <v>5351892.5945644611</v>
      </c>
      <c r="C118" t="s">
        <v>26</v>
      </c>
      <c r="D118" s="8">
        <v>36900000000</v>
      </c>
      <c r="E118" t="s">
        <v>60</v>
      </c>
      <c r="F118" t="s">
        <v>160</v>
      </c>
    </row>
    <row r="119" spans="1:6" x14ac:dyDescent="0.3">
      <c r="A119" s="8">
        <f>A9*A117/A118</f>
        <v>1.6406582945782466E-4</v>
      </c>
      <c r="C119" t="s">
        <v>9</v>
      </c>
      <c r="F119" t="s">
        <v>161</v>
      </c>
    </row>
    <row r="120" spans="1:6" x14ac:dyDescent="0.3">
      <c r="A120">
        <f>A116/(PI()*(A55^2-A56^2)/4)</f>
        <v>1277.8810889417043</v>
      </c>
    </row>
    <row r="132" spans="3:10" x14ac:dyDescent="0.3">
      <c r="C132" t="s">
        <v>13</v>
      </c>
    </row>
    <row r="133" spans="3:10" x14ac:dyDescent="0.3">
      <c r="C133" t="s">
        <v>14</v>
      </c>
    </row>
    <row r="134" spans="3:10" x14ac:dyDescent="0.3">
      <c r="C134" t="s">
        <v>15</v>
      </c>
    </row>
    <row r="135" spans="3:10" x14ac:dyDescent="0.3">
      <c r="C135" t="s">
        <v>16</v>
      </c>
    </row>
    <row r="136" spans="3:10" x14ac:dyDescent="0.3">
      <c r="C136" t="s">
        <v>19</v>
      </c>
    </row>
    <row r="137" spans="3:10" x14ac:dyDescent="0.3">
      <c r="C137" t="s">
        <v>20</v>
      </c>
    </row>
    <row r="138" spans="3:10" x14ac:dyDescent="0.3">
      <c r="C138" t="s">
        <v>21</v>
      </c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  <row r="139" spans="3:10" x14ac:dyDescent="0.3">
      <c r="C139" t="s">
        <v>22</v>
      </c>
    </row>
    <row r="140" spans="3:10" x14ac:dyDescent="0.3">
      <c r="C140" t="s">
        <v>33</v>
      </c>
    </row>
    <row r="141" spans="3:10" x14ac:dyDescent="0.3">
      <c r="C141" t="s">
        <v>34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1"/>
  <sheetViews>
    <sheetView zoomScaleNormal="100" workbookViewId="0">
      <selection activeCell="G9" sqref="G9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3.10937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79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/>
      <c r="AB4" s="5"/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Y5" s="6">
        <v>0.05</v>
      </c>
      <c r="Z5" s="5">
        <v>3</v>
      </c>
      <c r="AA5" s="5"/>
      <c r="AB5" s="5"/>
      <c r="AC5" s="5">
        <v>15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7</v>
      </c>
      <c r="AA6" s="5"/>
      <c r="AB6" s="5"/>
      <c r="AC6" s="5">
        <v>28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16</v>
      </c>
      <c r="AA7" s="5"/>
      <c r="AB7" s="5"/>
      <c r="AC7" s="5">
        <v>55</v>
      </c>
    </row>
    <row r="8" spans="1:29" ht="15" x14ac:dyDescent="0.25">
      <c r="A8">
        <v>5.38</v>
      </c>
      <c r="C8" t="s">
        <v>9</v>
      </c>
      <c r="F8" t="s">
        <v>4</v>
      </c>
      <c r="Y8" s="6">
        <v>0.3</v>
      </c>
      <c r="Z8" s="5">
        <v>35</v>
      </c>
      <c r="AA8" s="5"/>
      <c r="AB8" s="5"/>
      <c r="AC8" s="5">
        <v>100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68</v>
      </c>
      <c r="AA9" s="5"/>
      <c r="AB9" s="5"/>
      <c r="AC9" s="5">
        <v>250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409.85*Y10^2+2.36*Y10</f>
        <v>103.64250000000001</v>
      </c>
      <c r="AA10" s="5"/>
      <c r="AB10" s="5"/>
      <c r="AC10" s="5">
        <f>1621*Y10^2-58.678*Y10</f>
        <v>375.911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5.38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x14ac:dyDescent="0.3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x14ac:dyDescent="0.3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x14ac:dyDescent="0.3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5.25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18">
        <f>A9/2+A40-B19-B59-B25-B9</f>
        <v>0.39700000000000002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177</v>
      </c>
      <c r="C28" t="s">
        <v>8</v>
      </c>
      <c r="F28" t="s">
        <v>7</v>
      </c>
    </row>
    <row r="29" spans="1:7" x14ac:dyDescent="0.3">
      <c r="A29" s="18">
        <v>5.35</v>
      </c>
      <c r="B29">
        <v>3.6999999999999998E-2</v>
      </c>
      <c r="C29" t="s">
        <v>9</v>
      </c>
      <c r="F29" t="s">
        <v>25</v>
      </c>
    </row>
    <row r="30" spans="1:7" x14ac:dyDescent="0.3">
      <c r="A30" s="18">
        <v>0.21</v>
      </c>
      <c r="B30">
        <v>5.0000000000000001E-3</v>
      </c>
      <c r="C30" t="s">
        <v>9</v>
      </c>
      <c r="F30" t="s">
        <v>5</v>
      </c>
    </row>
    <row r="31" spans="1:7" x14ac:dyDescent="0.3">
      <c r="A31" s="18">
        <f>A29+A30</f>
        <v>5.56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30" x14ac:dyDescent="0.3">
      <c r="A33" s="3">
        <v>0.5</v>
      </c>
      <c r="C33" t="s">
        <v>8</v>
      </c>
      <c r="F33" t="s">
        <v>144</v>
      </c>
      <c r="G33" t="s">
        <v>43</v>
      </c>
    </row>
    <row r="34" spans="1:30" x14ac:dyDescent="0.3">
      <c r="F34" t="s">
        <v>17</v>
      </c>
    </row>
    <row r="35" spans="1:30" x14ac:dyDescent="0.3">
      <c r="F35" t="s">
        <v>18</v>
      </c>
    </row>
    <row r="36" spans="1:30" x14ac:dyDescent="0.3">
      <c r="A36" s="4">
        <f>(AC10+Z10)/2</f>
        <v>239.77674999999999</v>
      </c>
      <c r="B36" s="4">
        <f>(AC10-Z10)/2</f>
        <v>136.13425000000001</v>
      </c>
      <c r="C36" t="s">
        <v>38</v>
      </c>
      <c r="F36" t="s">
        <v>35</v>
      </c>
      <c r="Y36" s="22"/>
      <c r="Z36" s="22"/>
      <c r="AA36" s="22"/>
      <c r="AB36" s="22"/>
      <c r="AC36" s="22"/>
      <c r="AD36" s="22"/>
    </row>
    <row r="37" spans="1:30" x14ac:dyDescent="0.3">
      <c r="A37" s="4">
        <f>A36*PI()*($A29+$A30)</f>
        <v>4188.2416722370981</v>
      </c>
      <c r="B37" s="4">
        <f>B36*PI()*($A29+$A30)</f>
        <v>2377.8916799428771</v>
      </c>
      <c r="C37" t="s">
        <v>39</v>
      </c>
      <c r="F37" t="s">
        <v>36</v>
      </c>
      <c r="Y37" s="22"/>
      <c r="Z37" s="22"/>
      <c r="AA37" s="22"/>
      <c r="AB37" s="22"/>
      <c r="AC37" s="22"/>
      <c r="AD37" s="22"/>
    </row>
    <row r="38" spans="1:30" x14ac:dyDescent="0.3">
      <c r="A38" s="25">
        <f>A37-B37</f>
        <v>1810.349992294221</v>
      </c>
      <c r="B38" s="4"/>
      <c r="C38" t="s">
        <v>39</v>
      </c>
      <c r="F38" t="s">
        <v>80</v>
      </c>
      <c r="Y38" s="22"/>
      <c r="Z38" s="22"/>
      <c r="AA38" s="22"/>
      <c r="AB38" s="22"/>
      <c r="AC38" s="22"/>
      <c r="AD38" s="22"/>
    </row>
    <row r="39" spans="1:30" x14ac:dyDescent="0.3">
      <c r="A39" s="25">
        <f>A37+B37</f>
        <v>6566.1333521799752</v>
      </c>
      <c r="B39" s="4"/>
      <c r="C39" t="s">
        <v>39</v>
      </c>
      <c r="F39" t="s">
        <v>81</v>
      </c>
      <c r="Y39" s="23"/>
      <c r="Z39" s="22"/>
      <c r="AA39" s="22"/>
      <c r="AB39" s="22"/>
      <c r="AC39" s="22"/>
      <c r="AD39" s="22"/>
    </row>
    <row r="40" spans="1:30" x14ac:dyDescent="0.3">
      <c r="A40" s="18">
        <v>3.5000000000000003E-2</v>
      </c>
      <c r="B40" s="4"/>
      <c r="C40" t="s">
        <v>9</v>
      </c>
      <c r="F40" t="s">
        <v>132</v>
      </c>
      <c r="G40" t="s">
        <v>134</v>
      </c>
      <c r="H40" s="3"/>
      <c r="Y40" s="23"/>
      <c r="Z40" s="22"/>
      <c r="AA40" s="22"/>
      <c r="AB40" s="22"/>
      <c r="AC40" s="22"/>
      <c r="AD40" s="22"/>
    </row>
    <row r="41" spans="1:30" ht="15.6" x14ac:dyDescent="0.3">
      <c r="A41" s="4"/>
      <c r="B41" s="4"/>
      <c r="F41" s="14" t="s">
        <v>112</v>
      </c>
      <c r="Y41" s="23"/>
      <c r="Z41" s="22"/>
      <c r="AA41" s="22"/>
      <c r="AB41" s="22"/>
      <c r="AC41" s="22"/>
      <c r="AD41" s="22"/>
    </row>
    <row r="42" spans="1:30" x14ac:dyDescent="0.3">
      <c r="A42" s="18">
        <f>A29</f>
        <v>5.35</v>
      </c>
      <c r="B42">
        <v>1E-3</v>
      </c>
      <c r="F42" t="s">
        <v>113</v>
      </c>
      <c r="G42" t="s">
        <v>136</v>
      </c>
      <c r="Y42" s="23"/>
      <c r="Z42" s="22"/>
      <c r="AA42" s="22"/>
      <c r="AB42" s="22"/>
      <c r="AC42" s="22"/>
      <c r="AD42" s="22"/>
    </row>
    <row r="43" spans="1:30" x14ac:dyDescent="0.3">
      <c r="A43" s="19">
        <v>0.315</v>
      </c>
      <c r="B43">
        <v>1E-3</v>
      </c>
      <c r="F43" t="s">
        <v>114</v>
      </c>
      <c r="G43" t="s">
        <v>136</v>
      </c>
      <c r="Y43" s="23"/>
      <c r="Z43" s="22"/>
      <c r="AA43" s="22"/>
      <c r="AB43" s="22"/>
      <c r="AC43" s="22"/>
      <c r="AD43" s="22"/>
    </row>
    <row r="44" spans="1:30" x14ac:dyDescent="0.3">
      <c r="A44" s="27">
        <f>A42+2*A43</f>
        <v>5.9799999999999995</v>
      </c>
      <c r="F44" t="s">
        <v>135</v>
      </c>
      <c r="G44" s="28" t="s">
        <v>178</v>
      </c>
      <c r="Y44" s="23"/>
      <c r="Z44" s="22"/>
      <c r="AA44" s="22"/>
      <c r="AB44" s="22"/>
      <c r="AC44" s="22"/>
      <c r="AD44" s="22"/>
    </row>
    <row r="45" spans="1:30" x14ac:dyDescent="0.3">
      <c r="A45" s="19">
        <v>0.12</v>
      </c>
      <c r="B45">
        <v>1E-3</v>
      </c>
      <c r="F45" t="s">
        <v>115</v>
      </c>
      <c r="G45" t="s">
        <v>136</v>
      </c>
      <c r="Y45" s="23"/>
      <c r="Z45" s="24"/>
      <c r="AA45" s="22"/>
      <c r="AB45" s="22"/>
      <c r="AC45" s="22"/>
      <c r="AD45" s="22"/>
    </row>
    <row r="46" spans="1:30" x14ac:dyDescent="0.3">
      <c r="A46" s="20">
        <f>A43*(A45+A76)</f>
        <v>4.0635000000000004E-2</v>
      </c>
      <c r="C46" t="s">
        <v>97</v>
      </c>
      <c r="F46" t="s">
        <v>137</v>
      </c>
    </row>
    <row r="47" spans="1:30" x14ac:dyDescent="0.3">
      <c r="A47" s="20">
        <f>A43*(A45+A75)</f>
        <v>4.8825000000000007E-2</v>
      </c>
      <c r="C47" t="s">
        <v>97</v>
      </c>
      <c r="F47" t="s">
        <v>138</v>
      </c>
    </row>
    <row r="48" spans="1:30" x14ac:dyDescent="0.3">
      <c r="A48" s="20">
        <f>A43*(A45+A74)</f>
        <v>4.4730000000000006E-2</v>
      </c>
      <c r="C48" t="s">
        <v>97</v>
      </c>
      <c r="F48" t="s">
        <v>139</v>
      </c>
    </row>
    <row r="49" spans="1:7" x14ac:dyDescent="0.3">
      <c r="A49" s="3">
        <v>0.75</v>
      </c>
      <c r="C49" t="s">
        <v>8</v>
      </c>
      <c r="F49" t="s">
        <v>143</v>
      </c>
      <c r="G49" t="s">
        <v>145</v>
      </c>
    </row>
    <row r="50" spans="1:7" x14ac:dyDescent="0.3">
      <c r="A50" s="21">
        <f>PI()*(A30-B30)^2/4/A47</f>
        <v>0.67601347294987713</v>
      </c>
      <c r="F50" t="s">
        <v>140</v>
      </c>
    </row>
    <row r="51" spans="1:7" x14ac:dyDescent="0.3">
      <c r="A51" s="21">
        <f>PI()*(A30+B30)^2/4/A46</f>
        <v>0.89344235518757331</v>
      </c>
      <c r="F51" t="s">
        <v>141</v>
      </c>
    </row>
    <row r="52" spans="1:7" x14ac:dyDescent="0.3">
      <c r="A52" s="21">
        <f>PI()*(A30)^2/4/A48</f>
        <v>0.77433621743410375</v>
      </c>
      <c r="F52" t="s">
        <v>142</v>
      </c>
    </row>
    <row r="53" spans="1:7" ht="15.6" x14ac:dyDescent="0.3">
      <c r="F53" s="14" t="s">
        <v>82</v>
      </c>
    </row>
    <row r="54" spans="1:7" x14ac:dyDescent="0.3">
      <c r="A54" t="s">
        <v>84</v>
      </c>
      <c r="F54" t="s">
        <v>83</v>
      </c>
    </row>
    <row r="55" spans="1:7" x14ac:dyDescent="0.3">
      <c r="A55">
        <v>5.99</v>
      </c>
      <c r="F55" t="s">
        <v>89</v>
      </c>
    </row>
    <row r="56" spans="1:7" x14ac:dyDescent="0.3">
      <c r="A56">
        <f>5.38+0.05</f>
        <v>5.43</v>
      </c>
      <c r="C56" t="s">
        <v>9</v>
      </c>
      <c r="F56" t="s">
        <v>90</v>
      </c>
    </row>
    <row r="57" spans="1:7" x14ac:dyDescent="0.3">
      <c r="A57">
        <f>A55-A56</f>
        <v>0.5600000000000005</v>
      </c>
      <c r="C57" t="s">
        <v>9</v>
      </c>
      <c r="F57" t="s">
        <v>85</v>
      </c>
    </row>
    <row r="58" spans="1:7" x14ac:dyDescent="0.3">
      <c r="A58">
        <f>(A55+A56)/2</f>
        <v>5.71</v>
      </c>
      <c r="C58" t="s">
        <v>9</v>
      </c>
      <c r="F58" t="s">
        <v>91</v>
      </c>
      <c r="G58" t="s">
        <v>93</v>
      </c>
    </row>
    <row r="59" spans="1:7" x14ac:dyDescent="0.3">
      <c r="A59">
        <v>0.125</v>
      </c>
      <c r="B59">
        <v>1E-3</v>
      </c>
      <c r="C59" t="s">
        <v>9</v>
      </c>
      <c r="F59" t="s">
        <v>88</v>
      </c>
    </row>
    <row r="60" spans="1:7" x14ac:dyDescent="0.3">
      <c r="A60" s="8">
        <v>500000</v>
      </c>
      <c r="C60" t="s">
        <v>26</v>
      </c>
      <c r="F60" t="s">
        <v>86</v>
      </c>
    </row>
    <row r="61" spans="1:7" x14ac:dyDescent="0.3">
      <c r="A61" s="8">
        <f>A59*A39/(PI()*((A56/2+A57)^2-(A56/2)^2))/A60</f>
        <v>1.557704179585021E-4</v>
      </c>
      <c r="C61" t="s">
        <v>9</v>
      </c>
      <c r="F61" t="s">
        <v>87</v>
      </c>
    </row>
    <row r="62" spans="1:7" ht="15.6" x14ac:dyDescent="0.3">
      <c r="A62" s="8"/>
      <c r="F62" s="14" t="s">
        <v>104</v>
      </c>
    </row>
    <row r="63" spans="1:7" x14ac:dyDescent="0.3">
      <c r="A63" s="17"/>
      <c r="B63" s="17">
        <f>B19</f>
        <v>1E-3</v>
      </c>
      <c r="C63" t="s">
        <v>9</v>
      </c>
      <c r="F63" t="s">
        <v>105</v>
      </c>
    </row>
    <row r="64" spans="1:7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1.557704179585021E-4</v>
      </c>
      <c r="C67" t="s">
        <v>9</v>
      </c>
      <c r="F67" t="s">
        <v>123</v>
      </c>
    </row>
    <row r="68" spans="1:6" x14ac:dyDescent="0.3">
      <c r="A68" s="17"/>
      <c r="B68" s="17">
        <f>B30</f>
        <v>5.0000000000000001E-3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1.9155770417958504E-2</v>
      </c>
      <c r="C70" t="s">
        <v>9</v>
      </c>
      <c r="F70" t="s">
        <v>110</v>
      </c>
    </row>
    <row r="71" spans="1:6" x14ac:dyDescent="0.3">
      <c r="A71" s="18">
        <f>A30-A45-A74</f>
        <v>6.7999999999999977E-2</v>
      </c>
      <c r="B71" s="17"/>
      <c r="C71" s="21">
        <f>A71/A30</f>
        <v>0.32380952380952371</v>
      </c>
      <c r="F71" t="s">
        <v>146</v>
      </c>
    </row>
    <row r="72" spans="1:6" x14ac:dyDescent="0.3">
      <c r="A72" s="18">
        <f>A30-A45-A75</f>
        <v>5.4999999999999973E-2</v>
      </c>
      <c r="B72" s="17"/>
      <c r="C72" s="21">
        <f>A72/A30</f>
        <v>0.26190476190476181</v>
      </c>
      <c r="F72" t="s">
        <v>147</v>
      </c>
    </row>
    <row r="73" spans="1:6" x14ac:dyDescent="0.3">
      <c r="A73" s="17">
        <f>A30-A45-A76</f>
        <v>8.0999999999999975E-2</v>
      </c>
      <c r="B73" s="17"/>
      <c r="C73" s="21">
        <f>A73/A30</f>
        <v>0.38571428571428562</v>
      </c>
      <c r="F73" t="s">
        <v>148</v>
      </c>
    </row>
    <row r="74" spans="1:6" x14ac:dyDescent="0.3">
      <c r="A74" s="17">
        <f>A19+A25-A59-A9</f>
        <v>2.200000000000002E-2</v>
      </c>
      <c r="C74" t="s">
        <v>9</v>
      </c>
      <c r="F74" t="s">
        <v>130</v>
      </c>
    </row>
    <row r="75" spans="1:6" x14ac:dyDescent="0.3">
      <c r="A75" s="17">
        <f>A19+B19+A25+B25-A59+B59-A9+B9</f>
        <v>3.5000000000000024E-2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9.0000000000000167E-3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1094.3555586966625</v>
      </c>
      <c r="C83" t="s">
        <v>39</v>
      </c>
      <c r="F83" t="s">
        <v>95</v>
      </c>
    </row>
    <row r="84" spans="1:7" x14ac:dyDescent="0.3">
      <c r="A84">
        <f>A83/A82</f>
        <v>20391.886272629647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2.8690042981739995E-7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162</v>
      </c>
      <c r="D101" s="1"/>
      <c r="E101" s="1"/>
    </row>
    <row r="102" spans="1:6" x14ac:dyDescent="0.3">
      <c r="C102" s="1"/>
      <c r="D102" s="26" t="s">
        <v>156</v>
      </c>
      <c r="E102" s="1"/>
    </row>
    <row r="103" spans="1:6" x14ac:dyDescent="0.3">
      <c r="C103" s="1"/>
      <c r="D103" s="1"/>
      <c r="E103" s="1"/>
      <c r="F103" t="s">
        <v>45</v>
      </c>
    </row>
    <row r="104" spans="1:6" x14ac:dyDescent="0.3">
      <c r="F104" t="s">
        <v>46</v>
      </c>
    </row>
    <row r="105" spans="1:6" x14ac:dyDescent="0.3">
      <c r="F105" t="s">
        <v>56</v>
      </c>
    </row>
    <row r="106" spans="1:6" x14ac:dyDescent="0.3">
      <c r="A106">
        <f>(A29+A30)/2</f>
        <v>2.78</v>
      </c>
      <c r="C106" t="s">
        <v>9</v>
      </c>
      <c r="F106" t="s">
        <v>47</v>
      </c>
    </row>
    <row r="107" spans="1:6" x14ac:dyDescent="0.3">
      <c r="A107">
        <f>A11*A9^3/(12*(1-A12^2))</f>
        <v>383953.6363250736</v>
      </c>
      <c r="C107" t="s">
        <v>52</v>
      </c>
      <c r="F107" t="s">
        <v>48</v>
      </c>
    </row>
    <row r="108" spans="1:6" x14ac:dyDescent="0.3">
      <c r="A108">
        <f>1/64</f>
        <v>1.5625E-2</v>
      </c>
      <c r="C108" t="s">
        <v>8</v>
      </c>
      <c r="F108" t="s">
        <v>54</v>
      </c>
    </row>
    <row r="109" spans="1:6" x14ac:dyDescent="0.3">
      <c r="A109">
        <f>(1-(1-A12)/4)/4</f>
        <v>0.19793749999999999</v>
      </c>
      <c r="C109" t="s">
        <v>8</v>
      </c>
      <c r="F109" t="s">
        <v>55</v>
      </c>
    </row>
    <row r="110" spans="1:6" x14ac:dyDescent="0.3">
      <c r="A110">
        <f>(-A94*A106^4)*(5+A12)/(64*A107*(1+A12))</f>
        <v>-1.5819959411041644E-4</v>
      </c>
      <c r="C110" t="s">
        <v>9</v>
      </c>
      <c r="F110" t="s">
        <v>57</v>
      </c>
    </row>
    <row r="111" spans="1:6" x14ac:dyDescent="0.3">
      <c r="A111">
        <f>A94*A106^2*(3+A12)/16</f>
        <v>22.487180572499994</v>
      </c>
      <c r="C111" t="s">
        <v>58</v>
      </c>
      <c r="F111" t="s">
        <v>59</v>
      </c>
    </row>
    <row r="112" spans="1:6" x14ac:dyDescent="0.3">
      <c r="A112">
        <f>6*A111/A9^2</f>
        <v>239.86325943999995</v>
      </c>
      <c r="C112" t="s">
        <v>26</v>
      </c>
      <c r="D112" s="8">
        <f>A112*6894.75729</f>
        <v>1653798.9566271009</v>
      </c>
      <c r="E112" t="s">
        <v>60</v>
      </c>
      <c r="F112" t="s">
        <v>61</v>
      </c>
    </row>
    <row r="113" spans="1:6" x14ac:dyDescent="0.3">
      <c r="A113" s="11">
        <v>4</v>
      </c>
      <c r="B113" s="11"/>
      <c r="C113" t="s">
        <v>8</v>
      </c>
      <c r="F113" t="s">
        <v>63</v>
      </c>
    </row>
    <row r="114" spans="1:6" x14ac:dyDescent="0.3">
      <c r="A114" s="11">
        <f>A13/A112/A113-1</f>
        <v>6.558355234117192</v>
      </c>
      <c r="B114" s="11"/>
      <c r="C114" t="s">
        <v>8</v>
      </c>
      <c r="F114" t="s">
        <v>62</v>
      </c>
    </row>
    <row r="115" spans="1:6" x14ac:dyDescent="0.3">
      <c r="A115" s="8"/>
      <c r="B115" s="8"/>
      <c r="D115" s="26" t="s">
        <v>157</v>
      </c>
    </row>
    <row r="116" spans="1:6" x14ac:dyDescent="0.3">
      <c r="A116" s="4">
        <f>A39</f>
        <v>6566.1333521799752</v>
      </c>
      <c r="C116" t="s">
        <v>39</v>
      </c>
      <c r="F116" t="s">
        <v>158</v>
      </c>
    </row>
    <row r="117" spans="1:6" x14ac:dyDescent="0.3">
      <c r="A117">
        <f>A116/(PI()*(A44^2-A42^2)/4)</f>
        <v>1171.2493366396275</v>
      </c>
      <c r="C117" t="s">
        <v>26</v>
      </c>
      <c r="F117" t="s">
        <v>159</v>
      </c>
    </row>
    <row r="118" spans="1:6" x14ac:dyDescent="0.3">
      <c r="A118" s="8">
        <f>D118/6894.7572</f>
        <v>5351892.5945644611</v>
      </c>
      <c r="C118" t="s">
        <v>26</v>
      </c>
      <c r="D118" s="8">
        <v>36900000000</v>
      </c>
      <c r="E118" t="s">
        <v>60</v>
      </c>
      <c r="F118" t="s">
        <v>160</v>
      </c>
    </row>
    <row r="119" spans="1:6" x14ac:dyDescent="0.3">
      <c r="A119" s="8">
        <f>A9*A117/A118</f>
        <v>1.6413576822746535E-4</v>
      </c>
      <c r="C119" t="s">
        <v>9</v>
      </c>
      <c r="F119" t="s">
        <v>161</v>
      </c>
    </row>
    <row r="120" spans="1:6" x14ac:dyDescent="0.3">
      <c r="A120">
        <f>A116/(PI()*(A55^2-A56^2)/4)</f>
        <v>1307.2711783837856</v>
      </c>
    </row>
    <row r="132" spans="3:10" x14ac:dyDescent="0.3">
      <c r="C132" t="s">
        <v>13</v>
      </c>
    </row>
    <row r="133" spans="3:10" x14ac:dyDescent="0.3">
      <c r="C133" t="s">
        <v>14</v>
      </c>
    </row>
    <row r="134" spans="3:10" x14ac:dyDescent="0.3">
      <c r="C134" t="s">
        <v>15</v>
      </c>
    </row>
    <row r="135" spans="3:10" x14ac:dyDescent="0.3">
      <c r="C135" t="s">
        <v>16</v>
      </c>
    </row>
    <row r="136" spans="3:10" x14ac:dyDescent="0.3">
      <c r="C136" t="s">
        <v>19</v>
      </c>
    </row>
    <row r="137" spans="3:10" x14ac:dyDescent="0.3">
      <c r="C137" t="s">
        <v>20</v>
      </c>
    </row>
    <row r="138" spans="3:10" x14ac:dyDescent="0.3">
      <c r="C138" t="s">
        <v>21</v>
      </c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  <row r="139" spans="3:10" x14ac:dyDescent="0.3">
      <c r="C139" t="s">
        <v>22</v>
      </c>
    </row>
    <row r="140" spans="3:10" x14ac:dyDescent="0.3">
      <c r="C140" t="s">
        <v>33</v>
      </c>
    </row>
    <row r="141" spans="3:10" x14ac:dyDescent="0.3">
      <c r="C141" t="s">
        <v>34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1"/>
  <sheetViews>
    <sheetView zoomScaleNormal="100" workbookViewId="0">
      <selection activeCell="G9" sqref="G9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3.10937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79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/>
      <c r="AB4" s="5"/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Y5" s="6">
        <v>0.05</v>
      </c>
      <c r="Z5" s="5">
        <v>3</v>
      </c>
      <c r="AA5" s="5"/>
      <c r="AB5" s="5"/>
      <c r="AC5" s="5">
        <v>15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7</v>
      </c>
      <c r="AA6" s="5"/>
      <c r="AB6" s="5"/>
      <c r="AC6" s="5">
        <v>28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16</v>
      </c>
      <c r="AA7" s="5"/>
      <c r="AB7" s="5"/>
      <c r="AC7" s="5">
        <v>55</v>
      </c>
    </row>
    <row r="8" spans="1:29" ht="15" x14ac:dyDescent="0.25">
      <c r="A8">
        <v>5.38</v>
      </c>
      <c r="C8" t="s">
        <v>9</v>
      </c>
      <c r="F8" t="s">
        <v>4</v>
      </c>
      <c r="Y8" s="6">
        <v>0.3</v>
      </c>
      <c r="Z8" s="5">
        <v>35</v>
      </c>
      <c r="AA8" s="5"/>
      <c r="AB8" s="5"/>
      <c r="AC8" s="5">
        <v>100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68</v>
      </c>
      <c r="AA9" s="5"/>
      <c r="AB9" s="5"/>
      <c r="AC9" s="5">
        <v>250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409.85*Y10^2+2.36*Y10</f>
        <v>103.64250000000001</v>
      </c>
      <c r="AA10" s="5"/>
      <c r="AB10" s="5"/>
      <c r="AC10" s="5">
        <f>1621*Y10^2-58.678*Y10</f>
        <v>375.911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5.38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x14ac:dyDescent="0.3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x14ac:dyDescent="0.3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x14ac:dyDescent="0.3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5.375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18">
        <f>A9/2+A40-B19-B59-B25-B9</f>
        <v>0.39300000000000002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152</v>
      </c>
      <c r="C28" t="s">
        <v>8</v>
      </c>
      <c r="F28" t="s">
        <v>7</v>
      </c>
    </row>
    <row r="29" spans="1:7" x14ac:dyDescent="0.3">
      <c r="A29">
        <v>5.4749999999999996</v>
      </c>
      <c r="B29">
        <v>3.6999999999999998E-2</v>
      </c>
      <c r="C29" t="s">
        <v>9</v>
      </c>
      <c r="F29" t="s">
        <v>25</v>
      </c>
    </row>
    <row r="30" spans="1:7" x14ac:dyDescent="0.3">
      <c r="A30">
        <v>0.21</v>
      </c>
      <c r="B30">
        <v>5.0000000000000001E-3</v>
      </c>
      <c r="C30" t="s">
        <v>9</v>
      </c>
      <c r="F30" t="s">
        <v>5</v>
      </c>
    </row>
    <row r="31" spans="1:7" x14ac:dyDescent="0.3">
      <c r="A31">
        <f>A29+A30</f>
        <v>5.6849999999999996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30" x14ac:dyDescent="0.3">
      <c r="A33" s="3">
        <v>0.5</v>
      </c>
      <c r="C33" t="s">
        <v>8</v>
      </c>
      <c r="F33" t="s">
        <v>144</v>
      </c>
      <c r="G33" t="s">
        <v>43</v>
      </c>
    </row>
    <row r="34" spans="1:30" x14ac:dyDescent="0.3">
      <c r="F34" t="s">
        <v>17</v>
      </c>
    </row>
    <row r="35" spans="1:30" x14ac:dyDescent="0.3">
      <c r="F35" t="s">
        <v>18</v>
      </c>
    </row>
    <row r="36" spans="1:30" x14ac:dyDescent="0.3">
      <c r="A36" s="4">
        <f>(AC10+Z10)/2</f>
        <v>239.77674999999999</v>
      </c>
      <c r="B36" s="4">
        <f>(AC10-Z10)/2</f>
        <v>136.13425000000001</v>
      </c>
      <c r="C36" t="s">
        <v>38</v>
      </c>
      <c r="F36" t="s">
        <v>35</v>
      </c>
      <c r="Y36" s="22"/>
      <c r="Z36" s="22"/>
      <c r="AA36" s="22"/>
      <c r="AB36" s="22"/>
      <c r="AC36" s="22"/>
      <c r="AD36" s="22"/>
    </row>
    <row r="37" spans="1:30" x14ac:dyDescent="0.3">
      <c r="A37" s="4">
        <f>A36*PI()*($A29+$A30)</f>
        <v>4282.4017817748027</v>
      </c>
      <c r="B37" s="4">
        <f>B36*PI()*($A29+$A30)</f>
        <v>2431.3514749056217</v>
      </c>
      <c r="C37" t="s">
        <v>39</v>
      </c>
      <c r="F37" t="s">
        <v>36</v>
      </c>
      <c r="Y37" s="22"/>
      <c r="Z37" s="22"/>
      <c r="AA37" s="22"/>
      <c r="AB37" s="22"/>
      <c r="AC37" s="22"/>
      <c r="AD37" s="22"/>
    </row>
    <row r="38" spans="1:30" x14ac:dyDescent="0.3">
      <c r="A38" s="25">
        <f>A37-B37</f>
        <v>1851.050306869181</v>
      </c>
      <c r="B38" s="4"/>
      <c r="C38" t="s">
        <v>39</v>
      </c>
      <c r="F38" t="s">
        <v>80</v>
      </c>
      <c r="Y38" s="22"/>
      <c r="Z38" s="22"/>
      <c r="AA38" s="22"/>
      <c r="AB38" s="22"/>
      <c r="AC38" s="22"/>
      <c r="AD38" s="22"/>
    </row>
    <row r="39" spans="1:30" x14ac:dyDescent="0.3">
      <c r="A39" s="25">
        <f>A37+B37</f>
        <v>6713.7532566804239</v>
      </c>
      <c r="B39" s="4"/>
      <c r="C39" t="s">
        <v>39</v>
      </c>
      <c r="F39" t="s">
        <v>81</v>
      </c>
      <c r="Y39" s="23"/>
      <c r="Z39" s="22"/>
      <c r="AA39" s="22"/>
      <c r="AB39" s="22"/>
      <c r="AC39" s="22"/>
      <c r="AD39" s="22"/>
    </row>
    <row r="40" spans="1:30" x14ac:dyDescent="0.3">
      <c r="A40" s="18">
        <v>3.1E-2</v>
      </c>
      <c r="B40" s="4"/>
      <c r="C40" t="s">
        <v>9</v>
      </c>
      <c r="F40" t="s">
        <v>132</v>
      </c>
      <c r="G40" t="s">
        <v>134</v>
      </c>
      <c r="H40" s="3"/>
      <c r="Y40" s="23"/>
      <c r="Z40" s="22"/>
      <c r="AA40" s="22"/>
      <c r="AB40" s="22"/>
      <c r="AC40" s="22"/>
      <c r="AD40" s="22"/>
    </row>
    <row r="41" spans="1:30" ht="15.6" x14ac:dyDescent="0.3">
      <c r="A41" s="4"/>
      <c r="B41" s="4"/>
      <c r="F41" s="14" t="s">
        <v>112</v>
      </c>
      <c r="Y41" s="23"/>
      <c r="Z41" s="22"/>
      <c r="AA41" s="22"/>
      <c r="AB41" s="22"/>
      <c r="AC41" s="22"/>
      <c r="AD41" s="22"/>
    </row>
    <row r="42" spans="1:30" x14ac:dyDescent="0.3">
      <c r="A42" s="18">
        <f>A29</f>
        <v>5.4749999999999996</v>
      </c>
      <c r="B42">
        <v>1E-3</v>
      </c>
      <c r="F42" t="s">
        <v>113</v>
      </c>
      <c r="G42" t="s">
        <v>136</v>
      </c>
      <c r="Y42" s="23"/>
      <c r="Z42" s="22"/>
      <c r="AA42" s="22"/>
      <c r="AB42" s="22"/>
      <c r="AC42" s="22"/>
      <c r="AD42" s="22"/>
    </row>
    <row r="43" spans="1:30" x14ac:dyDescent="0.3">
      <c r="A43" s="19">
        <v>0.315</v>
      </c>
      <c r="B43">
        <v>1E-3</v>
      </c>
      <c r="F43" t="s">
        <v>114</v>
      </c>
      <c r="G43" t="s">
        <v>136</v>
      </c>
      <c r="Y43" s="23"/>
      <c r="Z43" s="22"/>
      <c r="AA43" s="22"/>
      <c r="AB43" s="22"/>
      <c r="AC43" s="22"/>
      <c r="AD43" s="22"/>
    </row>
    <row r="44" spans="1:30" x14ac:dyDescent="0.3">
      <c r="A44" s="27">
        <f>A42+2*A43</f>
        <v>6.1049999999999995</v>
      </c>
      <c r="F44" t="s">
        <v>135</v>
      </c>
      <c r="G44" s="28" t="s">
        <v>163</v>
      </c>
      <c r="Y44" s="23"/>
      <c r="Z44" s="22"/>
      <c r="AA44" s="22"/>
      <c r="AB44" s="22"/>
      <c r="AC44" s="22"/>
      <c r="AD44" s="22"/>
    </row>
    <row r="45" spans="1:30" x14ac:dyDescent="0.3">
      <c r="A45" s="19">
        <v>0.123</v>
      </c>
      <c r="B45">
        <v>1E-3</v>
      </c>
      <c r="F45" t="s">
        <v>115</v>
      </c>
      <c r="G45" t="s">
        <v>136</v>
      </c>
      <c r="Y45" s="23"/>
      <c r="Z45" s="24"/>
      <c r="AA45" s="22"/>
      <c r="AB45" s="22"/>
      <c r="AC45" s="22"/>
      <c r="AD45" s="22"/>
    </row>
    <row r="46" spans="1:30" x14ac:dyDescent="0.3">
      <c r="A46" s="20">
        <f>A43*(A45+A76)</f>
        <v>4.0320000000000002E-2</v>
      </c>
      <c r="C46" t="s">
        <v>97</v>
      </c>
      <c r="F46" t="s">
        <v>137</v>
      </c>
    </row>
    <row r="47" spans="1:30" x14ac:dyDescent="0.3">
      <c r="A47" s="20">
        <f>A43*(A45+A75)</f>
        <v>4.8510000000000011E-2</v>
      </c>
      <c r="C47" t="s">
        <v>97</v>
      </c>
      <c r="F47" t="s">
        <v>138</v>
      </c>
    </row>
    <row r="48" spans="1:30" x14ac:dyDescent="0.3">
      <c r="A48" s="20">
        <f>A43*(A45+A74)</f>
        <v>4.4415000000000003E-2</v>
      </c>
      <c r="C48" t="s">
        <v>97</v>
      </c>
      <c r="F48" t="s">
        <v>139</v>
      </c>
    </row>
    <row r="49" spans="1:7" x14ac:dyDescent="0.3">
      <c r="A49" s="3">
        <v>0.75</v>
      </c>
      <c r="C49" t="s">
        <v>8</v>
      </c>
      <c r="F49" t="s">
        <v>143</v>
      </c>
      <c r="G49" t="s">
        <v>145</v>
      </c>
    </row>
    <row r="50" spans="1:7" x14ac:dyDescent="0.3">
      <c r="A50" s="21">
        <f>PI()*(A30-B30)^2/4/A47</f>
        <v>0.68040317082617496</v>
      </c>
      <c r="F50" t="s">
        <v>140</v>
      </c>
    </row>
    <row r="51" spans="1:7" x14ac:dyDescent="0.3">
      <c r="A51" s="21">
        <f>PI()*(A30+B30)^2/4/A46</f>
        <v>0.90042237358747623</v>
      </c>
      <c r="F51" t="s">
        <v>141</v>
      </c>
    </row>
    <row r="52" spans="1:7" x14ac:dyDescent="0.3">
      <c r="A52" s="21">
        <f>PI()*(A30)^2/4/A48</f>
        <v>0.77982796365704077</v>
      </c>
      <c r="F52" t="s">
        <v>142</v>
      </c>
    </row>
    <row r="53" spans="1:7" ht="15.6" x14ac:dyDescent="0.3">
      <c r="F53" s="14" t="s">
        <v>82</v>
      </c>
    </row>
    <row r="54" spans="1:7" x14ac:dyDescent="0.3">
      <c r="A54" t="s">
        <v>84</v>
      </c>
      <c r="F54" t="s">
        <v>83</v>
      </c>
    </row>
    <row r="55" spans="1:7" x14ac:dyDescent="0.3">
      <c r="A55">
        <v>5.99</v>
      </c>
      <c r="F55" t="s">
        <v>89</v>
      </c>
    </row>
    <row r="56" spans="1:7" x14ac:dyDescent="0.3">
      <c r="A56">
        <f>5.38+0.05</f>
        <v>5.43</v>
      </c>
      <c r="C56" t="s">
        <v>9</v>
      </c>
      <c r="F56" t="s">
        <v>90</v>
      </c>
    </row>
    <row r="57" spans="1:7" x14ac:dyDescent="0.3">
      <c r="A57">
        <f>A55-A56</f>
        <v>0.5600000000000005</v>
      </c>
      <c r="C57" t="s">
        <v>9</v>
      </c>
      <c r="F57" t="s">
        <v>85</v>
      </c>
    </row>
    <row r="58" spans="1:7" x14ac:dyDescent="0.3">
      <c r="A58">
        <f>(A55+A56)/2</f>
        <v>5.71</v>
      </c>
      <c r="C58" t="s">
        <v>9</v>
      </c>
      <c r="F58" t="s">
        <v>91</v>
      </c>
      <c r="G58" t="s">
        <v>93</v>
      </c>
    </row>
    <row r="59" spans="1:7" x14ac:dyDescent="0.3">
      <c r="A59">
        <v>0.125</v>
      </c>
      <c r="B59">
        <v>1E-3</v>
      </c>
      <c r="C59" t="s">
        <v>9</v>
      </c>
      <c r="F59" t="s">
        <v>88</v>
      </c>
    </row>
    <row r="60" spans="1:7" x14ac:dyDescent="0.3">
      <c r="A60" s="8">
        <v>500000</v>
      </c>
      <c r="C60" t="s">
        <v>26</v>
      </c>
      <c r="F60" t="s">
        <v>86</v>
      </c>
    </row>
    <row r="61" spans="1:7" x14ac:dyDescent="0.3">
      <c r="A61" s="8">
        <f>A59*A39/(PI()*((A56/2+A57)^2-(A56/2)^2))/A60</f>
        <v>1.592724507363461E-4</v>
      </c>
      <c r="C61" t="s">
        <v>9</v>
      </c>
      <c r="F61" t="s">
        <v>87</v>
      </c>
    </row>
    <row r="62" spans="1:7" ht="15.6" x14ac:dyDescent="0.3">
      <c r="A62" s="8"/>
      <c r="F62" s="14" t="s">
        <v>104</v>
      </c>
    </row>
    <row r="63" spans="1:7" x14ac:dyDescent="0.3">
      <c r="A63" s="17"/>
      <c r="B63" s="17">
        <f>B19</f>
        <v>1E-3</v>
      </c>
      <c r="C63" t="s">
        <v>9</v>
      </c>
      <c r="F63" t="s">
        <v>105</v>
      </c>
    </row>
    <row r="64" spans="1:7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1.592724507363461E-4</v>
      </c>
      <c r="C67" t="s">
        <v>9</v>
      </c>
      <c r="F67" t="s">
        <v>123</v>
      </c>
    </row>
    <row r="68" spans="1:6" x14ac:dyDescent="0.3">
      <c r="A68" s="17"/>
      <c r="B68" s="17">
        <f>B30</f>
        <v>5.0000000000000001E-3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1.9159272450736349E-2</v>
      </c>
      <c r="C70" t="s">
        <v>9</v>
      </c>
      <c r="F70" t="s">
        <v>110</v>
      </c>
    </row>
    <row r="71" spans="1:6" x14ac:dyDescent="0.3">
      <c r="A71" s="18">
        <f>A30-A45-A74</f>
        <v>6.8999999999999978E-2</v>
      </c>
      <c r="B71" s="17"/>
      <c r="C71" s="21">
        <f>A71/A30</f>
        <v>0.32857142857142846</v>
      </c>
      <c r="F71" t="s">
        <v>146</v>
      </c>
    </row>
    <row r="72" spans="1:6" x14ac:dyDescent="0.3">
      <c r="A72" s="18">
        <f>A30-A45-A75</f>
        <v>5.5999999999999973E-2</v>
      </c>
      <c r="B72" s="17"/>
      <c r="C72" s="21">
        <f>A72/A30</f>
        <v>0.26666666666666655</v>
      </c>
      <c r="F72" t="s">
        <v>147</v>
      </c>
    </row>
    <row r="73" spans="1:6" x14ac:dyDescent="0.3">
      <c r="A73" s="17">
        <f>A30-A45-A76</f>
        <v>8.1999999999999976E-2</v>
      </c>
      <c r="B73" s="17"/>
      <c r="C73" s="21">
        <f>A73/A30</f>
        <v>0.39047619047619037</v>
      </c>
      <c r="F73" t="s">
        <v>148</v>
      </c>
    </row>
    <row r="74" spans="1:6" x14ac:dyDescent="0.3">
      <c r="A74" s="17">
        <f>A19+A25-A59-A9</f>
        <v>1.8000000000000016E-2</v>
      </c>
      <c r="C74" t="s">
        <v>9</v>
      </c>
      <c r="F74" t="s">
        <v>130</v>
      </c>
    </row>
    <row r="75" spans="1:6" x14ac:dyDescent="0.3">
      <c r="A75" s="17">
        <f>A19+B19+A25+B25-A59+B59-A9+B9</f>
        <v>3.1000000000000021E-2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5.0000000000000131E-3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1118.9588761134039</v>
      </c>
      <c r="C83" t="s">
        <v>39</v>
      </c>
      <c r="F83" t="s">
        <v>95</v>
      </c>
    </row>
    <row r="84" spans="1:7" x14ac:dyDescent="0.3">
      <c r="A84">
        <f>A83/A82</f>
        <v>20850.336953219343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2.936037108879E-7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162</v>
      </c>
      <c r="D101" s="1"/>
      <c r="E101" s="1"/>
    </row>
    <row r="102" spans="1:6" x14ac:dyDescent="0.3">
      <c r="C102" s="1"/>
      <c r="D102" s="26" t="s">
        <v>156</v>
      </c>
      <c r="E102" s="1"/>
    </row>
    <row r="103" spans="1:6" x14ac:dyDescent="0.3">
      <c r="C103" s="1"/>
      <c r="D103" s="1"/>
      <c r="E103" s="1"/>
      <c r="F103" t="s">
        <v>45</v>
      </c>
    </row>
    <row r="104" spans="1:6" x14ac:dyDescent="0.3">
      <c r="F104" t="s">
        <v>46</v>
      </c>
    </row>
    <row r="105" spans="1:6" x14ac:dyDescent="0.3">
      <c r="F105" t="s">
        <v>56</v>
      </c>
    </row>
    <row r="106" spans="1:6" x14ac:dyDescent="0.3">
      <c r="A106">
        <f>(A29+A30)/2</f>
        <v>2.8424999999999998</v>
      </c>
      <c r="C106" t="s">
        <v>9</v>
      </c>
      <c r="F106" t="s">
        <v>47</v>
      </c>
    </row>
    <row r="107" spans="1:6" x14ac:dyDescent="0.3">
      <c r="A107">
        <f>A11*A9^3/(12*(1-A12^2))</f>
        <v>383953.6363250736</v>
      </c>
      <c r="C107" t="s">
        <v>52</v>
      </c>
      <c r="F107" t="s">
        <v>48</v>
      </c>
    </row>
    <row r="108" spans="1:6" x14ac:dyDescent="0.3">
      <c r="A108">
        <f>1/64</f>
        <v>1.5625E-2</v>
      </c>
      <c r="C108" t="s">
        <v>8</v>
      </c>
      <c r="F108" t="s">
        <v>54</v>
      </c>
    </row>
    <row r="109" spans="1:6" x14ac:dyDescent="0.3">
      <c r="A109">
        <f>(1-(1-A12)/4)/4</f>
        <v>0.19793749999999999</v>
      </c>
      <c r="C109" t="s">
        <v>8</v>
      </c>
      <c r="F109" t="s">
        <v>55</v>
      </c>
    </row>
    <row r="110" spans="1:6" x14ac:dyDescent="0.3">
      <c r="A110">
        <f>(-A94*A106^4)*(5+A12)/(64*A107*(1+A12))</f>
        <v>-1.7291317076617457E-4</v>
      </c>
      <c r="C110" t="s">
        <v>9</v>
      </c>
      <c r="F110" t="s">
        <v>57</v>
      </c>
    </row>
    <row r="111" spans="1:6" x14ac:dyDescent="0.3">
      <c r="A111">
        <f>A94*A106^2*(3+A12)/16</f>
        <v>23.509660749257808</v>
      </c>
      <c r="C111" t="s">
        <v>58</v>
      </c>
      <c r="F111" t="s">
        <v>59</v>
      </c>
    </row>
    <row r="112" spans="1:6" x14ac:dyDescent="0.3">
      <c r="A112">
        <f>6*A111/A9^2</f>
        <v>250.76971465874996</v>
      </c>
      <c r="C112" t="s">
        <v>26</v>
      </c>
      <c r="D112" s="8">
        <f>A112*6894.75729</f>
        <v>1728996.3182546361</v>
      </c>
      <c r="E112" t="s">
        <v>60</v>
      </c>
      <c r="F112" t="s">
        <v>61</v>
      </c>
    </row>
    <row r="113" spans="1:6" x14ac:dyDescent="0.3">
      <c r="A113" s="11">
        <v>4</v>
      </c>
      <c r="B113" s="11"/>
      <c r="C113" t="s">
        <v>8</v>
      </c>
      <c r="F113" t="s">
        <v>63</v>
      </c>
    </row>
    <row r="114" spans="1:6" x14ac:dyDescent="0.3">
      <c r="A114" s="11">
        <f>A13/A112/A113-1</f>
        <v>6.2296278875933817</v>
      </c>
      <c r="B114" s="11"/>
      <c r="C114" t="s">
        <v>8</v>
      </c>
      <c r="F114" t="s">
        <v>62</v>
      </c>
    </row>
    <row r="115" spans="1:6" x14ac:dyDescent="0.3">
      <c r="A115" s="8"/>
      <c r="B115" s="8"/>
      <c r="D115" s="26" t="s">
        <v>157</v>
      </c>
    </row>
    <row r="116" spans="1:6" x14ac:dyDescent="0.3">
      <c r="A116" s="4">
        <f>A39</f>
        <v>6713.7532566804239</v>
      </c>
      <c r="C116" t="s">
        <v>39</v>
      </c>
      <c r="F116" t="s">
        <v>158</v>
      </c>
    </row>
    <row r="117" spans="1:6" x14ac:dyDescent="0.3">
      <c r="A117">
        <f>A116/(PI()*(A44^2-A42^2)/4)</f>
        <v>1171.7268607615761</v>
      </c>
      <c r="C117" t="s">
        <v>26</v>
      </c>
      <c r="F117" t="s">
        <v>159</v>
      </c>
    </row>
    <row r="118" spans="1:6" x14ac:dyDescent="0.3">
      <c r="A118" s="8">
        <f>D118/6894.7572</f>
        <v>5351892.5945644611</v>
      </c>
      <c r="C118" t="s">
        <v>26</v>
      </c>
      <c r="D118" s="8">
        <v>36900000000</v>
      </c>
      <c r="E118" t="s">
        <v>60</v>
      </c>
      <c r="F118" t="s">
        <v>160</v>
      </c>
    </row>
    <row r="119" spans="1:6" x14ac:dyDescent="0.3">
      <c r="A119" s="8">
        <f>A9*A117/A118</f>
        <v>1.6420268718839989E-4</v>
      </c>
      <c r="C119" t="s">
        <v>9</v>
      </c>
      <c r="F119" t="s">
        <v>161</v>
      </c>
    </row>
    <row r="120" spans="1:6" x14ac:dyDescent="0.3">
      <c r="A120">
        <f>A116/(PI()*(A55^2-A56^2)/4)</f>
        <v>1336.6612678258671</v>
      </c>
    </row>
    <row r="132" spans="3:10" x14ac:dyDescent="0.3">
      <c r="C132" t="s">
        <v>13</v>
      </c>
    </row>
    <row r="133" spans="3:10" x14ac:dyDescent="0.3">
      <c r="C133" t="s">
        <v>14</v>
      </c>
    </row>
    <row r="134" spans="3:10" x14ac:dyDescent="0.3">
      <c r="C134" t="s">
        <v>15</v>
      </c>
    </row>
    <row r="135" spans="3:10" x14ac:dyDescent="0.3">
      <c r="C135" t="s">
        <v>16</v>
      </c>
    </row>
    <row r="136" spans="3:10" x14ac:dyDescent="0.3">
      <c r="C136" t="s">
        <v>19</v>
      </c>
    </row>
    <row r="137" spans="3:10" x14ac:dyDescent="0.3">
      <c r="C137" t="s">
        <v>20</v>
      </c>
    </row>
    <row r="138" spans="3:10" x14ac:dyDescent="0.3">
      <c r="C138" t="s">
        <v>21</v>
      </c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  <row r="139" spans="3:10" x14ac:dyDescent="0.3">
      <c r="C139" t="s">
        <v>22</v>
      </c>
    </row>
    <row r="140" spans="3:10" x14ac:dyDescent="0.3">
      <c r="C140" t="s">
        <v>33</v>
      </c>
    </row>
    <row r="141" spans="3:10" x14ac:dyDescent="0.3">
      <c r="C141" t="s">
        <v>34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zoomScaleNormal="100" workbookViewId="0">
      <selection activeCell="G9" sqref="G9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3.109375" customWidth="1"/>
    <col min="23" max="23" width="17.3320312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79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/>
      <c r="AB4" s="5"/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Y5" s="6">
        <v>0.05</v>
      </c>
      <c r="Z5" s="5">
        <v>2.5</v>
      </c>
      <c r="AA5" s="5"/>
      <c r="AB5" s="5"/>
      <c r="AC5" s="5">
        <v>15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7</v>
      </c>
      <c r="AA6" s="5"/>
      <c r="AB6" s="5"/>
      <c r="AC6" s="5">
        <v>30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22</v>
      </c>
      <c r="AA7" s="5"/>
      <c r="AB7" s="5"/>
      <c r="AC7" s="5">
        <v>65</v>
      </c>
    </row>
    <row r="8" spans="1:29" ht="15" x14ac:dyDescent="0.25">
      <c r="A8">
        <v>5.38</v>
      </c>
      <c r="C8" t="s">
        <v>9</v>
      </c>
      <c r="F8" t="s">
        <v>4</v>
      </c>
      <c r="Y8" s="6">
        <v>0.3</v>
      </c>
      <c r="Z8" s="5">
        <v>45</v>
      </c>
      <c r="AA8" s="5"/>
      <c r="AB8" s="5"/>
      <c r="AC8" s="5">
        <v>135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110</v>
      </c>
      <c r="AA9" s="5"/>
      <c r="AB9" s="5"/>
      <c r="AC9" s="5">
        <v>300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814.23*Y10^2-62.147*Y10</f>
        <v>172.48400000000001</v>
      </c>
      <c r="AA10" s="5"/>
      <c r="AB10" s="5"/>
      <c r="AC10" s="5">
        <f>1950.5*Y10^2-59.643*Y10</f>
        <v>457.80349999999999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5.38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x14ac:dyDescent="0.3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x14ac:dyDescent="0.3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x14ac:dyDescent="0.3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5.25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18">
        <f>A9/2+A40-B19-B59-B25-B9</f>
        <v>0.39300000000000002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176</v>
      </c>
      <c r="C28" t="s">
        <v>8</v>
      </c>
      <c r="F28" t="s">
        <v>7</v>
      </c>
    </row>
    <row r="29" spans="1:7" x14ac:dyDescent="0.3">
      <c r="A29">
        <v>5.35</v>
      </c>
      <c r="B29">
        <v>3.6999999999999998E-2</v>
      </c>
      <c r="C29" t="s">
        <v>9</v>
      </c>
      <c r="F29" t="s">
        <v>25</v>
      </c>
    </row>
    <row r="30" spans="1:7" x14ac:dyDescent="0.3">
      <c r="A30">
        <v>0.27500000000000002</v>
      </c>
      <c r="B30">
        <v>6.0000000000000001E-3</v>
      </c>
      <c r="C30" t="s">
        <v>9</v>
      </c>
      <c r="F30" t="s">
        <v>5</v>
      </c>
    </row>
    <row r="31" spans="1:7" x14ac:dyDescent="0.3">
      <c r="A31">
        <f>A29+A30</f>
        <v>5.625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30" x14ac:dyDescent="0.3">
      <c r="A33" s="3">
        <v>0.5</v>
      </c>
      <c r="C33" t="s">
        <v>8</v>
      </c>
      <c r="F33" t="s">
        <v>144</v>
      </c>
      <c r="G33" t="s">
        <v>43</v>
      </c>
    </row>
    <row r="34" spans="1:30" x14ac:dyDescent="0.3">
      <c r="A34" s="8">
        <f>W62*PI()*A31</f>
        <v>1.7297451039323471E-6</v>
      </c>
      <c r="C34" t="s">
        <v>32</v>
      </c>
      <c r="F34" t="s">
        <v>204</v>
      </c>
    </row>
    <row r="35" spans="1:30" x14ac:dyDescent="0.3">
      <c r="A35" s="8">
        <f>W63*PI()*A31</f>
        <v>1.3220272152991749E-6</v>
      </c>
      <c r="C35" t="s">
        <v>32</v>
      </c>
      <c r="F35" t="s">
        <v>203</v>
      </c>
    </row>
    <row r="36" spans="1:30" x14ac:dyDescent="0.3">
      <c r="A36" s="4">
        <f>(AC10+Z10)/2</f>
        <v>315.14375000000001</v>
      </c>
      <c r="B36" s="4">
        <f>(AC10-Z10)/2</f>
        <v>142.65974999999997</v>
      </c>
      <c r="C36" t="s">
        <v>38</v>
      </c>
      <c r="F36" t="s">
        <v>35</v>
      </c>
      <c r="Y36" s="22"/>
      <c r="Z36" s="22"/>
      <c r="AA36" s="22"/>
      <c r="AB36" s="22"/>
      <c r="AC36" s="22"/>
      <c r="AD36" s="22"/>
    </row>
    <row r="37" spans="1:30" x14ac:dyDescent="0.3">
      <c r="A37" s="4">
        <f>A36*PI()*($A29+$A30)</f>
        <v>5569.0497552641536</v>
      </c>
      <c r="B37" s="4">
        <f>B36*PI()*($A29+$A30)</f>
        <v>2521.0058769166299</v>
      </c>
      <c r="C37" t="s">
        <v>39</v>
      </c>
      <c r="F37" t="s">
        <v>36</v>
      </c>
      <c r="Y37" s="22"/>
      <c r="Z37" s="22"/>
      <c r="AA37" s="22"/>
      <c r="AB37" s="22"/>
      <c r="AC37" s="22"/>
      <c r="AD37" s="22"/>
    </row>
    <row r="38" spans="1:30" x14ac:dyDescent="0.3">
      <c r="A38" s="25">
        <f>A37-B37</f>
        <v>3048.0438783475238</v>
      </c>
      <c r="B38" s="4"/>
      <c r="C38" t="s">
        <v>39</v>
      </c>
      <c r="F38" t="s">
        <v>80</v>
      </c>
      <c r="Y38" s="22"/>
      <c r="Z38" s="22"/>
      <c r="AA38" s="22"/>
      <c r="AB38" s="22"/>
      <c r="AC38" s="22"/>
      <c r="AD38" s="22"/>
    </row>
    <row r="39" spans="1:30" x14ac:dyDescent="0.3">
      <c r="A39" s="25">
        <f>A37+B37</f>
        <v>8090.0556321807835</v>
      </c>
      <c r="B39" s="4"/>
      <c r="C39" t="s">
        <v>39</v>
      </c>
      <c r="F39" t="s">
        <v>81</v>
      </c>
      <c r="Y39" s="23"/>
      <c r="Z39" s="22"/>
      <c r="AA39" s="22"/>
      <c r="AB39" s="22"/>
      <c r="AC39" s="22"/>
      <c r="AD39" s="22"/>
    </row>
    <row r="40" spans="1:30" x14ac:dyDescent="0.3">
      <c r="A40" s="18">
        <v>3.1E-2</v>
      </c>
      <c r="B40" s="4"/>
      <c r="C40" t="s">
        <v>9</v>
      </c>
      <c r="F40" t="s">
        <v>132</v>
      </c>
      <c r="G40" t="s">
        <v>134</v>
      </c>
      <c r="H40" s="3">
        <f>A43/0.314-1</f>
        <v>0.40127388535031838</v>
      </c>
      <c r="I40" t="s">
        <v>150</v>
      </c>
      <c r="Y40" s="23"/>
      <c r="Z40" s="22"/>
      <c r="AA40" s="22"/>
      <c r="AB40" s="22"/>
      <c r="AC40" s="22"/>
      <c r="AD40" s="22"/>
    </row>
    <row r="41" spans="1:30" ht="15.6" x14ac:dyDescent="0.3">
      <c r="A41" s="4"/>
      <c r="B41" s="4"/>
      <c r="F41" s="14" t="s">
        <v>112</v>
      </c>
      <c r="Y41" s="23"/>
      <c r="Z41" s="22"/>
      <c r="AA41" s="22"/>
      <c r="AB41" s="22"/>
      <c r="AC41" s="22"/>
      <c r="AD41" s="22"/>
    </row>
    <row r="42" spans="1:30" x14ac:dyDescent="0.3">
      <c r="A42" s="18">
        <f>A29</f>
        <v>5.35</v>
      </c>
      <c r="B42">
        <v>1E-3</v>
      </c>
      <c r="F42" t="s">
        <v>113</v>
      </c>
      <c r="G42" t="s">
        <v>136</v>
      </c>
      <c r="Y42" s="23"/>
      <c r="Z42" s="22"/>
      <c r="AA42" s="22"/>
      <c r="AB42" s="22"/>
      <c r="AC42" s="22"/>
      <c r="AD42" s="22"/>
    </row>
    <row r="43" spans="1:30" x14ac:dyDescent="0.3">
      <c r="A43" s="19">
        <v>0.44</v>
      </c>
      <c r="B43">
        <v>1E-3</v>
      </c>
      <c r="F43" t="s">
        <v>154</v>
      </c>
      <c r="G43" t="s">
        <v>136</v>
      </c>
      <c r="Y43" s="23"/>
      <c r="Z43" s="22"/>
      <c r="AA43" s="22"/>
      <c r="AB43" s="22"/>
      <c r="AC43" s="22"/>
      <c r="AD43" s="22"/>
    </row>
    <row r="44" spans="1:30" x14ac:dyDescent="0.3">
      <c r="A44" s="27">
        <f>A42+2*A43</f>
        <v>6.2299999999999995</v>
      </c>
      <c r="F44" t="s">
        <v>135</v>
      </c>
      <c r="G44" s="28" t="s">
        <v>163</v>
      </c>
      <c r="Y44" s="23"/>
      <c r="Z44" s="22"/>
      <c r="AA44" s="22"/>
      <c r="AB44" s="22"/>
      <c r="AC44" s="22"/>
      <c r="AD44" s="22"/>
    </row>
    <row r="45" spans="1:30" x14ac:dyDescent="0.3">
      <c r="A45" s="19">
        <v>0.152</v>
      </c>
      <c r="B45">
        <v>1E-3</v>
      </c>
      <c r="F45" t="s">
        <v>115</v>
      </c>
      <c r="G45" t="s">
        <v>136</v>
      </c>
      <c r="Y45" s="23"/>
      <c r="Z45" s="24"/>
      <c r="AA45" s="22"/>
      <c r="AB45" s="22"/>
      <c r="AC45" s="22"/>
      <c r="AD45" s="22"/>
    </row>
    <row r="46" spans="1:30" x14ac:dyDescent="0.3">
      <c r="A46" s="20">
        <f>A43*(A45+A76)</f>
        <v>6.9080000000000003E-2</v>
      </c>
      <c r="C46" t="s">
        <v>97</v>
      </c>
      <c r="F46" t="s">
        <v>137</v>
      </c>
    </row>
    <row r="47" spans="1:30" x14ac:dyDescent="0.3">
      <c r="A47" s="20">
        <f>A43*(A45+A75)</f>
        <v>8.0520000000000008E-2</v>
      </c>
      <c r="C47" t="s">
        <v>97</v>
      </c>
      <c r="F47" t="s">
        <v>138</v>
      </c>
    </row>
    <row r="48" spans="1:30" x14ac:dyDescent="0.3">
      <c r="A48" s="20">
        <f>A43*(A45+A74)</f>
        <v>7.4800000000000005E-2</v>
      </c>
      <c r="C48" t="s">
        <v>97</v>
      </c>
      <c r="F48" t="s">
        <v>139</v>
      </c>
    </row>
    <row r="49" spans="1:23" x14ac:dyDescent="0.3">
      <c r="A49" s="3">
        <v>0.75</v>
      </c>
      <c r="C49" t="s">
        <v>8</v>
      </c>
      <c r="F49" t="s">
        <v>143</v>
      </c>
      <c r="G49" t="s">
        <v>145</v>
      </c>
      <c r="J49">
        <f>0.5-I50</f>
        <v>0.47382139034407472</v>
      </c>
    </row>
    <row r="50" spans="1:23" x14ac:dyDescent="0.3">
      <c r="A50" s="21">
        <f>PI()*(A30-B30)^2/4/A47</f>
        <v>0.70581466097370538</v>
      </c>
      <c r="F50" t="s">
        <v>140</v>
      </c>
      <c r="H50">
        <f>SIN(PI()/180)*3</f>
        <v>5.2357219311850535E-2</v>
      </c>
      <c r="I50">
        <f>H50/2</f>
        <v>2.6178609655925267E-2</v>
      </c>
    </row>
    <row r="51" spans="1:23" x14ac:dyDescent="0.3">
      <c r="A51" s="21">
        <f>PI()*(A30+B30)^2/4/A46</f>
        <v>0.89773920642770588</v>
      </c>
      <c r="F51" t="s">
        <v>141</v>
      </c>
    </row>
    <row r="52" spans="1:23" x14ac:dyDescent="0.3">
      <c r="A52" s="21">
        <f>PI()*(A30)^2/4/A48</f>
        <v>0.7940606431408026</v>
      </c>
      <c r="F52" t="s">
        <v>142</v>
      </c>
      <c r="I52">
        <f>0.275/2</f>
        <v>0.13750000000000001</v>
      </c>
    </row>
    <row r="53" spans="1:23" ht="15.6" x14ac:dyDescent="0.3">
      <c r="F53" s="14" t="s">
        <v>82</v>
      </c>
      <c r="I53" t="s">
        <v>155</v>
      </c>
    </row>
    <row r="54" spans="1:23" x14ac:dyDescent="0.3">
      <c r="A54" t="s">
        <v>84</v>
      </c>
      <c r="F54" t="s">
        <v>83</v>
      </c>
    </row>
    <row r="55" spans="1:23" x14ac:dyDescent="0.3">
      <c r="A55">
        <v>5.99</v>
      </c>
      <c r="F55" t="s">
        <v>89</v>
      </c>
    </row>
    <row r="56" spans="1:23" x14ac:dyDescent="0.3">
      <c r="A56">
        <f>5.38+0.05</f>
        <v>5.43</v>
      </c>
      <c r="C56" t="s">
        <v>9</v>
      </c>
      <c r="F56" t="s">
        <v>90</v>
      </c>
    </row>
    <row r="57" spans="1:23" x14ac:dyDescent="0.3">
      <c r="A57">
        <f>A55-A56</f>
        <v>0.5600000000000005</v>
      </c>
      <c r="C57" t="s">
        <v>9</v>
      </c>
      <c r="F57" t="s">
        <v>85</v>
      </c>
    </row>
    <row r="58" spans="1:23" ht="43.2" x14ac:dyDescent="0.3">
      <c r="A58">
        <f>(A55+A56)/2</f>
        <v>5.71</v>
      </c>
      <c r="C58" t="s">
        <v>9</v>
      </c>
      <c r="F58" t="s">
        <v>91</v>
      </c>
      <c r="G58" t="s">
        <v>93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v>0.125</v>
      </c>
      <c r="B59">
        <v>1E-3</v>
      </c>
      <c r="C59" t="s">
        <v>9</v>
      </c>
      <c r="F59" t="s">
        <v>88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 s="8">
        <v>500000</v>
      </c>
      <c r="C60" t="s">
        <v>26</v>
      </c>
      <c r="F60" t="s">
        <v>86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8">
        <f>A59*A39/(PI()*((A56/2+A57)^2-(A56/2)^2))/A60</f>
        <v>1.9192289884181949E-4</v>
      </c>
      <c r="C61" t="s">
        <v>9</v>
      </c>
      <c r="F61" t="s">
        <v>87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ht="15.6" x14ac:dyDescent="0.3">
      <c r="A62" s="8"/>
      <c r="F62" s="14" t="s">
        <v>104</v>
      </c>
      <c r="S62" s="5" t="s">
        <v>182</v>
      </c>
      <c r="T62" s="6">
        <f>C72</f>
        <v>0.33454545454545453</v>
      </c>
      <c r="U62" s="5"/>
      <c r="V62" s="5"/>
      <c r="W62" s="5">
        <f>0.00000003*T62^-1.08</f>
        <v>9.788354971727549E-8</v>
      </c>
    </row>
    <row r="63" spans="1:23" x14ac:dyDescent="0.3">
      <c r="A63" s="17"/>
      <c r="B63" s="17">
        <f>B19</f>
        <v>1E-3</v>
      </c>
      <c r="C63" t="s">
        <v>9</v>
      </c>
      <c r="F63" t="s">
        <v>105</v>
      </c>
      <c r="S63" s="5" t="s">
        <v>183</v>
      </c>
      <c r="T63" s="6">
        <f>C73</f>
        <v>0.42909090909090908</v>
      </c>
      <c r="U63" s="5"/>
      <c r="V63" s="5"/>
      <c r="W63" s="5">
        <f>0.00000003*T63^-1.08</f>
        <v>7.4811436877111842E-8</v>
      </c>
    </row>
    <row r="64" spans="1:23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1.9192289884181949E-4</v>
      </c>
      <c r="C67" t="s">
        <v>9</v>
      </c>
      <c r="F67" t="s">
        <v>123</v>
      </c>
    </row>
    <row r="68" spans="1:6" x14ac:dyDescent="0.3">
      <c r="A68" s="17"/>
      <c r="B68" s="17">
        <f>B30</f>
        <v>6.0000000000000001E-3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2.0191922898841821E-2</v>
      </c>
      <c r="C70" t="s">
        <v>9</v>
      </c>
      <c r="F70" t="s">
        <v>110</v>
      </c>
    </row>
    <row r="71" spans="1:6" x14ac:dyDescent="0.3">
      <c r="A71" s="18">
        <f>A30-A45-A74</f>
        <v>0.10500000000000001</v>
      </c>
      <c r="B71" s="17"/>
      <c r="C71" s="21">
        <f>A71/A30</f>
        <v>0.38181818181818183</v>
      </c>
      <c r="F71" t="s">
        <v>146</v>
      </c>
    </row>
    <row r="72" spans="1:6" x14ac:dyDescent="0.3">
      <c r="A72" s="18">
        <f>A30-A45-A75</f>
        <v>9.1999999999999998E-2</v>
      </c>
      <c r="B72" s="17"/>
      <c r="C72" s="21">
        <f>A72/A30</f>
        <v>0.33454545454545453</v>
      </c>
      <c r="F72" t="s">
        <v>147</v>
      </c>
    </row>
    <row r="73" spans="1:6" x14ac:dyDescent="0.3">
      <c r="A73" s="17">
        <f>A30-A45-A76</f>
        <v>0.11800000000000001</v>
      </c>
      <c r="B73" s="17"/>
      <c r="C73" s="21">
        <f>A73/A30</f>
        <v>0.42909090909090908</v>
      </c>
      <c r="F73" t="s">
        <v>148</v>
      </c>
    </row>
    <row r="74" spans="1:6" x14ac:dyDescent="0.3">
      <c r="A74" s="17">
        <f>A19+A25-A59-A9</f>
        <v>1.8000000000000016E-2</v>
      </c>
      <c r="C74" t="s">
        <v>9</v>
      </c>
      <c r="F74" t="s">
        <v>130</v>
      </c>
    </row>
    <row r="75" spans="1:6" x14ac:dyDescent="0.3">
      <c r="A75" s="17">
        <f>A19+B19+A25+B25-A59+B59-A9+B9</f>
        <v>3.1000000000000021E-2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5.0000000000000131E-3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1348.3426053634639</v>
      </c>
      <c r="C83" t="s">
        <v>39</v>
      </c>
      <c r="F83" t="s">
        <v>95</v>
      </c>
    </row>
    <row r="84" spans="1:7" x14ac:dyDescent="0.3">
      <c r="A84">
        <f>A83/A82</f>
        <v>25124.603102358025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2.8690042981739995E-7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44</v>
      </c>
      <c r="D101" s="1"/>
      <c r="E101" s="1"/>
      <c r="F101" t="s">
        <v>45</v>
      </c>
    </row>
    <row r="102" spans="1:6" x14ac:dyDescent="0.3">
      <c r="F102" t="s">
        <v>46</v>
      </c>
    </row>
    <row r="103" spans="1:6" x14ac:dyDescent="0.3">
      <c r="F103" t="s">
        <v>56</v>
      </c>
    </row>
    <row r="104" spans="1:6" x14ac:dyDescent="0.3">
      <c r="A104">
        <f>(A29+A30)/2</f>
        <v>2.8125</v>
      </c>
      <c r="C104" t="s">
        <v>9</v>
      </c>
      <c r="F104" t="s">
        <v>47</v>
      </c>
    </row>
    <row r="105" spans="1:6" x14ac:dyDescent="0.3">
      <c r="A105">
        <f>A11*A9^3/(12*(1-A12^2))</f>
        <v>383953.6363250736</v>
      </c>
      <c r="C105" t="s">
        <v>52</v>
      </c>
      <c r="F105" t="s">
        <v>48</v>
      </c>
    </row>
    <row r="106" spans="1:6" x14ac:dyDescent="0.3">
      <c r="A106">
        <f>1/64</f>
        <v>1.5625E-2</v>
      </c>
      <c r="C106" t="s">
        <v>8</v>
      </c>
      <c r="F106" t="s">
        <v>54</v>
      </c>
    </row>
    <row r="107" spans="1:6" x14ac:dyDescent="0.3">
      <c r="A107">
        <f>(1-(1-A12)/4)/4</f>
        <v>0.19793749999999999</v>
      </c>
      <c r="C107" t="s">
        <v>8</v>
      </c>
      <c r="F107" t="s">
        <v>55</v>
      </c>
    </row>
    <row r="108" spans="1:6" x14ac:dyDescent="0.3">
      <c r="A108">
        <f>(-A94*A104^4)*(5+A12)/(64*A105*(1+A12))</f>
        <v>-1.6572815888798878E-4</v>
      </c>
      <c r="C108" t="s">
        <v>9</v>
      </c>
      <c r="F108" t="s">
        <v>57</v>
      </c>
    </row>
    <row r="109" spans="1:6" x14ac:dyDescent="0.3">
      <c r="A109">
        <f>A94*A104^2*(3+A12)/16</f>
        <v>23.016033325195313</v>
      </c>
      <c r="C109" t="s">
        <v>58</v>
      </c>
      <c r="F109" t="s">
        <v>59</v>
      </c>
    </row>
    <row r="110" spans="1:6" x14ac:dyDescent="0.3">
      <c r="A110">
        <f>6*A109/A9^2</f>
        <v>245.50435546875002</v>
      </c>
      <c r="C110" t="s">
        <v>26</v>
      </c>
      <c r="D110" s="8">
        <f>A110*6894.75729</f>
        <v>1692692.9445949155</v>
      </c>
      <c r="E110" t="s">
        <v>60</v>
      </c>
      <c r="F110" t="s">
        <v>61</v>
      </c>
    </row>
    <row r="111" spans="1:6" x14ac:dyDescent="0.3">
      <c r="A111" s="11">
        <v>3</v>
      </c>
      <c r="B111" s="11"/>
      <c r="C111" t="s">
        <v>8</v>
      </c>
      <c r="F111" t="s">
        <v>63</v>
      </c>
    </row>
    <row r="112" spans="1:6" x14ac:dyDescent="0.3">
      <c r="A112" s="11">
        <f>A13/A110/3-1</f>
        <v>8.8462433602541104</v>
      </c>
      <c r="B112" s="11"/>
      <c r="C112" t="s">
        <v>8</v>
      </c>
      <c r="F112" t="s">
        <v>62</v>
      </c>
    </row>
    <row r="113" spans="1:3" x14ac:dyDescent="0.3">
      <c r="A113" s="8"/>
      <c r="B113" s="8"/>
    </row>
    <row r="115" spans="1:3" x14ac:dyDescent="0.3">
      <c r="C115" t="s">
        <v>13</v>
      </c>
    </row>
    <row r="116" spans="1:3" x14ac:dyDescent="0.3">
      <c r="C116" t="s">
        <v>14</v>
      </c>
    </row>
    <row r="117" spans="1:3" x14ac:dyDescent="0.3">
      <c r="C117" t="s">
        <v>15</v>
      </c>
    </row>
    <row r="118" spans="1:3" x14ac:dyDescent="0.3">
      <c r="C118" t="s">
        <v>16</v>
      </c>
    </row>
    <row r="119" spans="1:3" x14ac:dyDescent="0.3">
      <c r="C119" t="s">
        <v>19</v>
      </c>
    </row>
    <row r="120" spans="1:3" x14ac:dyDescent="0.3">
      <c r="C120" t="s">
        <v>20</v>
      </c>
    </row>
    <row r="121" spans="1:3" x14ac:dyDescent="0.3">
      <c r="C121" t="s">
        <v>21</v>
      </c>
    </row>
    <row r="122" spans="1:3" x14ac:dyDescent="0.3">
      <c r="C122" t="s">
        <v>22</v>
      </c>
    </row>
    <row r="123" spans="1:3" x14ac:dyDescent="0.3">
      <c r="C123" t="s">
        <v>33</v>
      </c>
    </row>
    <row r="124" spans="1:3" x14ac:dyDescent="0.3">
      <c r="C124" t="s">
        <v>34</v>
      </c>
    </row>
    <row r="138" spans="8:10" x14ac:dyDescent="0.3"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zoomScaleNormal="100" workbookViewId="0">
      <selection activeCell="A3" sqref="A3:F3"/>
    </sheetView>
  </sheetViews>
  <sheetFormatPr defaultRowHeight="14.4" x14ac:dyDescent="0.3"/>
  <cols>
    <col min="1" max="1" width="11.6640625" customWidth="1"/>
    <col min="2" max="2" width="8.33203125" customWidth="1"/>
    <col min="3" max="5" width="9.44140625" customWidth="1"/>
    <col min="6" max="6" width="51.44140625" customWidth="1"/>
    <col min="7" max="7" width="54.6640625" customWidth="1"/>
    <col min="21" max="21" width="13.44140625" customWidth="1"/>
    <col min="22" max="22" width="17.33203125" customWidth="1"/>
    <col min="23" max="23" width="17.44140625" customWidth="1"/>
    <col min="26" max="26" width="13.109375" customWidth="1"/>
    <col min="27" max="27" width="13.33203125" customWidth="1"/>
    <col min="28" max="28" width="12.88671875" customWidth="1"/>
    <col min="29" max="29" width="13.5546875" customWidth="1"/>
  </cols>
  <sheetData>
    <row r="1" spans="1:29" ht="28.5" x14ac:dyDescent="0.45">
      <c r="A1" s="2" t="s">
        <v>10</v>
      </c>
      <c r="B1" s="2"/>
      <c r="Y1" t="s">
        <v>79</v>
      </c>
    </row>
    <row r="2" spans="1:29" ht="15" x14ac:dyDescent="0.25">
      <c r="Z2" s="5" t="s">
        <v>69</v>
      </c>
      <c r="AA2" s="5" t="s">
        <v>69</v>
      </c>
      <c r="AB2" s="5" t="s">
        <v>71</v>
      </c>
      <c r="AC2" s="5" t="s">
        <v>71</v>
      </c>
    </row>
    <row r="3" spans="1:29" x14ac:dyDescent="0.3">
      <c r="A3" s="1" t="s">
        <v>1</v>
      </c>
      <c r="B3" s="15" t="s">
        <v>68</v>
      </c>
      <c r="C3" s="1" t="s">
        <v>2</v>
      </c>
      <c r="D3" s="1" t="s">
        <v>1</v>
      </c>
      <c r="E3" s="1" t="s">
        <v>2</v>
      </c>
      <c r="F3" s="1" t="s">
        <v>3</v>
      </c>
      <c r="G3" s="1" t="s">
        <v>40</v>
      </c>
      <c r="Y3" s="5" t="s">
        <v>12</v>
      </c>
      <c r="Z3" s="5" t="s">
        <v>70</v>
      </c>
      <c r="AA3" s="5" t="s">
        <v>72</v>
      </c>
      <c r="AB3" s="5" t="s">
        <v>70</v>
      </c>
      <c r="AC3" s="5" t="s">
        <v>72</v>
      </c>
    </row>
    <row r="4" spans="1:29" ht="15.75" x14ac:dyDescent="0.25">
      <c r="A4" s="1"/>
      <c r="B4" s="1"/>
      <c r="C4" s="1"/>
      <c r="D4" s="1"/>
      <c r="E4" s="1"/>
      <c r="F4" s="14" t="s">
        <v>66</v>
      </c>
      <c r="G4" s="1"/>
      <c r="Y4" s="6">
        <v>0</v>
      </c>
      <c r="Z4" s="5">
        <v>0</v>
      </c>
      <c r="AA4" s="5"/>
      <c r="AB4" s="5"/>
      <c r="AC4" s="5">
        <v>0</v>
      </c>
    </row>
    <row r="5" spans="1:29" ht="15" x14ac:dyDescent="0.25">
      <c r="A5">
        <v>6</v>
      </c>
      <c r="B5">
        <v>0.01</v>
      </c>
      <c r="C5" t="s">
        <v>9</v>
      </c>
      <c r="F5" t="s">
        <v>0</v>
      </c>
      <c r="Y5" s="6">
        <v>0.05</v>
      </c>
      <c r="Z5" s="5">
        <v>2.5</v>
      </c>
      <c r="AA5" s="5"/>
      <c r="AB5" s="5"/>
      <c r="AC5" s="5">
        <v>15</v>
      </c>
    </row>
    <row r="6" spans="1:29" ht="15" x14ac:dyDescent="0.25">
      <c r="A6">
        <v>0.03</v>
      </c>
      <c r="B6">
        <v>0.01</v>
      </c>
      <c r="C6" t="s">
        <v>9</v>
      </c>
      <c r="F6" t="s">
        <v>164</v>
      </c>
      <c r="G6" t="s">
        <v>167</v>
      </c>
      <c r="Y6" s="6">
        <v>0.1</v>
      </c>
      <c r="Z6" s="5">
        <v>7</v>
      </c>
      <c r="AA6" s="5"/>
      <c r="AB6" s="5"/>
      <c r="AC6" s="5">
        <v>30</v>
      </c>
    </row>
    <row r="7" spans="1:29" ht="15" x14ac:dyDescent="0.25">
      <c r="A7">
        <f>A5-2*A6</f>
        <v>5.94</v>
      </c>
      <c r="B7">
        <f>B5+B6</f>
        <v>0.02</v>
      </c>
      <c r="C7" t="s">
        <v>9</v>
      </c>
      <c r="F7" t="s">
        <v>165</v>
      </c>
      <c r="Y7" s="6">
        <v>0.2</v>
      </c>
      <c r="Z7" s="5">
        <v>22</v>
      </c>
      <c r="AA7" s="5"/>
      <c r="AB7" s="5"/>
      <c r="AC7" s="5">
        <v>65</v>
      </c>
    </row>
    <row r="8" spans="1:29" ht="15" x14ac:dyDescent="0.25">
      <c r="A8">
        <v>5.38</v>
      </c>
      <c r="C8" t="s">
        <v>9</v>
      </c>
      <c r="F8" t="s">
        <v>4</v>
      </c>
      <c r="Y8" s="6">
        <v>0.3</v>
      </c>
      <c r="Z8" s="5">
        <v>45</v>
      </c>
      <c r="AA8" s="5"/>
      <c r="AB8" s="5"/>
      <c r="AC8" s="5">
        <v>135</v>
      </c>
    </row>
    <row r="9" spans="1:29" ht="15" x14ac:dyDescent="0.25">
      <c r="A9">
        <v>0.75</v>
      </c>
      <c r="B9">
        <v>0.01</v>
      </c>
      <c r="C9" t="s">
        <v>9</v>
      </c>
      <c r="F9" t="s">
        <v>49</v>
      </c>
      <c r="Y9" s="6">
        <v>0.4</v>
      </c>
      <c r="Z9" s="5">
        <v>110</v>
      </c>
      <c r="AA9" s="5"/>
      <c r="AB9" s="5"/>
      <c r="AC9" s="5">
        <v>300</v>
      </c>
    </row>
    <row r="10" spans="1:29" ht="15" x14ac:dyDescent="0.25">
      <c r="A10" t="s">
        <v>64</v>
      </c>
      <c r="C10" t="s">
        <v>8</v>
      </c>
      <c r="F10" t="s">
        <v>41</v>
      </c>
      <c r="Y10" s="6">
        <v>0.5</v>
      </c>
      <c r="Z10" s="7">
        <f>814.23*Y10^2-62.147*Y10</f>
        <v>172.48400000000001</v>
      </c>
      <c r="AA10" s="5"/>
      <c r="AB10" s="5"/>
      <c r="AC10" s="5">
        <f>1950.5*Y10^2-59.643*Y10</f>
        <v>457.80349999999999</v>
      </c>
    </row>
    <row r="11" spans="1:29" ht="15" x14ac:dyDescent="0.25">
      <c r="A11" s="8">
        <f>D11/6894.75729</f>
        <v>10616762.406730058</v>
      </c>
      <c r="B11" s="8"/>
      <c r="C11" t="s">
        <v>26</v>
      </c>
      <c r="D11" s="8">
        <v>73200000000</v>
      </c>
      <c r="E11" t="s">
        <v>60</v>
      </c>
      <c r="F11" t="s">
        <v>50</v>
      </c>
      <c r="G11" t="s">
        <v>65</v>
      </c>
    </row>
    <row r="12" spans="1:29" ht="15" x14ac:dyDescent="0.25">
      <c r="A12" s="13">
        <v>0.16700000000000001</v>
      </c>
      <c r="B12" s="13"/>
      <c r="C12" t="s">
        <v>8</v>
      </c>
      <c r="F12" t="s">
        <v>51</v>
      </c>
      <c r="G12" t="s">
        <v>65</v>
      </c>
    </row>
    <row r="13" spans="1:29" ht="15" x14ac:dyDescent="0.25">
      <c r="A13" s="8">
        <f>D13/6894.75729</f>
        <v>7251.8868898429346</v>
      </c>
      <c r="B13" s="8"/>
      <c r="C13" t="s">
        <v>26</v>
      </c>
      <c r="D13" s="8">
        <v>50000000</v>
      </c>
      <c r="E13" t="s">
        <v>60</v>
      </c>
      <c r="F13" t="s">
        <v>42</v>
      </c>
      <c r="G13" t="s">
        <v>65</v>
      </c>
    </row>
    <row r="14" spans="1:29" ht="15.75" x14ac:dyDescent="0.25">
      <c r="A14" s="8"/>
      <c r="B14" s="8"/>
      <c r="D14" s="8"/>
      <c r="F14" s="14" t="s">
        <v>116</v>
      </c>
    </row>
    <row r="15" spans="1:29" ht="15" x14ac:dyDescent="0.25">
      <c r="A15" s="18">
        <v>7.97</v>
      </c>
      <c r="B15" s="18">
        <v>0.01</v>
      </c>
      <c r="D15" s="8"/>
      <c r="F15" t="s">
        <v>117</v>
      </c>
    </row>
    <row r="16" spans="1:29" ht="15" x14ac:dyDescent="0.25">
      <c r="A16" s="18">
        <f>A8</f>
        <v>5.38</v>
      </c>
      <c r="B16" s="18">
        <v>0.01</v>
      </c>
      <c r="C16" s="18"/>
      <c r="D16" s="18"/>
      <c r="E16" s="18"/>
      <c r="F16" t="s">
        <v>118</v>
      </c>
      <c r="G16" s="9" t="s">
        <v>122</v>
      </c>
    </row>
    <row r="17" spans="1:7" x14ac:dyDescent="0.3">
      <c r="A17" s="18">
        <f>A5+0.05</f>
        <v>6.05</v>
      </c>
      <c r="B17" s="18">
        <v>0.01</v>
      </c>
      <c r="C17" s="18"/>
      <c r="D17" s="18"/>
      <c r="E17" s="18"/>
      <c r="F17" t="s">
        <v>119</v>
      </c>
    </row>
    <row r="18" spans="1:7" x14ac:dyDescent="0.3">
      <c r="A18" s="18">
        <v>0.625</v>
      </c>
      <c r="B18" s="18">
        <v>0.01</v>
      </c>
      <c r="C18" s="18"/>
      <c r="D18" s="18"/>
      <c r="E18" s="18"/>
      <c r="F18" t="s">
        <v>120</v>
      </c>
      <c r="G18" s="9" t="s">
        <v>122</v>
      </c>
    </row>
    <row r="19" spans="1:7" x14ac:dyDescent="0.3">
      <c r="A19" s="18">
        <f>A9/2+A59</f>
        <v>0.5</v>
      </c>
      <c r="B19" s="18">
        <v>1E-3</v>
      </c>
      <c r="C19" s="18"/>
      <c r="D19" s="18"/>
      <c r="E19" s="18"/>
      <c r="F19" t="s">
        <v>121</v>
      </c>
    </row>
    <row r="20" spans="1:7" ht="15.6" x14ac:dyDescent="0.3">
      <c r="A20" s="18"/>
      <c r="B20" s="18"/>
      <c r="C20" s="18"/>
      <c r="D20" s="18"/>
      <c r="E20" s="18"/>
      <c r="F20" s="14" t="s">
        <v>124</v>
      </c>
    </row>
    <row r="21" spans="1:7" x14ac:dyDescent="0.3">
      <c r="A21" s="18">
        <v>9.9700000000000006</v>
      </c>
      <c r="B21" s="18">
        <v>0.01</v>
      </c>
      <c r="C21" s="18"/>
      <c r="D21" s="18"/>
      <c r="E21" s="18"/>
      <c r="F21" t="s">
        <v>125</v>
      </c>
      <c r="G21" s="9" t="s">
        <v>122</v>
      </c>
    </row>
    <row r="22" spans="1:7" x14ac:dyDescent="0.3">
      <c r="A22" s="18">
        <f>A42-2*A26</f>
        <v>5.375</v>
      </c>
      <c r="B22" s="18">
        <v>0.01</v>
      </c>
      <c r="C22" s="18"/>
      <c r="D22" s="18"/>
      <c r="E22" s="18"/>
      <c r="F22" t="s">
        <v>126</v>
      </c>
      <c r="G22" t="s">
        <v>180</v>
      </c>
    </row>
    <row r="23" spans="1:7" x14ac:dyDescent="0.3">
      <c r="A23" s="18">
        <f>A5+0.05</f>
        <v>6.05</v>
      </c>
      <c r="B23" s="18">
        <v>0.01</v>
      </c>
      <c r="C23" s="18"/>
      <c r="D23" s="18"/>
      <c r="E23" s="18"/>
      <c r="F23" t="s">
        <v>127</v>
      </c>
    </row>
    <row r="24" spans="1:7" x14ac:dyDescent="0.3">
      <c r="A24" s="18">
        <v>0.97</v>
      </c>
      <c r="B24" s="18">
        <v>0.01</v>
      </c>
      <c r="C24" s="18"/>
      <c r="D24" s="18"/>
      <c r="E24" s="18"/>
      <c r="F24" t="s">
        <v>128</v>
      </c>
      <c r="G24" s="9" t="s">
        <v>122</v>
      </c>
    </row>
    <row r="25" spans="1:7" x14ac:dyDescent="0.3">
      <c r="A25" s="18">
        <f>A9/2+A40-B19-B59-B25-B9</f>
        <v>0.39300000000000002</v>
      </c>
      <c r="B25" s="18">
        <v>1E-3</v>
      </c>
      <c r="C25" s="18"/>
      <c r="D25" s="18"/>
      <c r="E25" s="18"/>
      <c r="F25" t="s">
        <v>129</v>
      </c>
    </row>
    <row r="26" spans="1:7" x14ac:dyDescent="0.3">
      <c r="A26" s="18">
        <v>0.05</v>
      </c>
      <c r="B26" s="18"/>
      <c r="C26" s="18"/>
      <c r="D26" s="18"/>
      <c r="E26" s="18"/>
      <c r="F26" t="s">
        <v>179</v>
      </c>
    </row>
    <row r="27" spans="1:7" ht="15.6" x14ac:dyDescent="0.3">
      <c r="A27" s="18"/>
      <c r="B27" s="18"/>
      <c r="C27" s="18"/>
      <c r="D27" s="18"/>
      <c r="E27" s="18"/>
      <c r="F27" s="14" t="s">
        <v>67</v>
      </c>
    </row>
    <row r="28" spans="1:7" x14ac:dyDescent="0.3">
      <c r="A28" t="s">
        <v>153</v>
      </c>
      <c r="C28" t="s">
        <v>8</v>
      </c>
      <c r="F28" t="s">
        <v>7</v>
      </c>
    </row>
    <row r="29" spans="1:7" x14ac:dyDescent="0.3">
      <c r="A29">
        <v>5.4749999999999996</v>
      </c>
      <c r="B29">
        <v>3.6999999999999998E-2</v>
      </c>
      <c r="C29" t="s">
        <v>9</v>
      </c>
      <c r="F29" t="s">
        <v>25</v>
      </c>
    </row>
    <row r="30" spans="1:7" x14ac:dyDescent="0.3">
      <c r="A30">
        <v>0.27500000000000002</v>
      </c>
      <c r="B30">
        <v>6.0000000000000001E-3</v>
      </c>
      <c r="C30" t="s">
        <v>9</v>
      </c>
      <c r="F30" t="s">
        <v>5</v>
      </c>
    </row>
    <row r="31" spans="1:7" x14ac:dyDescent="0.3">
      <c r="A31">
        <f>A29+A30</f>
        <v>5.75</v>
      </c>
      <c r="C31" t="s">
        <v>9</v>
      </c>
      <c r="F31" t="s">
        <v>92</v>
      </c>
    </row>
    <row r="32" spans="1:7" x14ac:dyDescent="0.3">
      <c r="A32">
        <v>75</v>
      </c>
      <c r="B32">
        <v>5</v>
      </c>
      <c r="C32" t="s">
        <v>8</v>
      </c>
      <c r="F32" t="s">
        <v>6</v>
      </c>
    </row>
    <row r="33" spans="1:30" x14ac:dyDescent="0.3">
      <c r="A33" s="3">
        <v>0.5</v>
      </c>
      <c r="C33" t="s">
        <v>8</v>
      </c>
      <c r="F33" t="s">
        <v>144</v>
      </c>
      <c r="G33" t="s">
        <v>43</v>
      </c>
    </row>
    <row r="34" spans="1:30" x14ac:dyDescent="0.3">
      <c r="A34" s="8">
        <f>W62*PI()*A31</f>
        <v>1.7681838840197325E-6</v>
      </c>
      <c r="C34" t="s">
        <v>32</v>
      </c>
      <c r="F34" t="s">
        <v>204</v>
      </c>
    </row>
    <row r="35" spans="1:30" x14ac:dyDescent="0.3">
      <c r="A35" s="8">
        <f>W63*PI()*A31</f>
        <v>1.3514055978613789E-6</v>
      </c>
      <c r="C35" t="s">
        <v>32</v>
      </c>
      <c r="F35" t="s">
        <v>203</v>
      </c>
    </row>
    <row r="36" spans="1:30" x14ac:dyDescent="0.3">
      <c r="A36" s="4">
        <f>(AC10+Z10)/2</f>
        <v>315.14375000000001</v>
      </c>
      <c r="B36" s="4">
        <f>(AC10-Z10)/2</f>
        <v>142.65974999999997</v>
      </c>
      <c r="C36" t="s">
        <v>38</v>
      </c>
      <c r="F36" t="s">
        <v>35</v>
      </c>
      <c r="Y36" s="22"/>
      <c r="Z36" s="22"/>
      <c r="AA36" s="22"/>
      <c r="AB36" s="22"/>
      <c r="AC36" s="22"/>
      <c r="AD36" s="22"/>
    </row>
    <row r="37" spans="1:30" x14ac:dyDescent="0.3">
      <c r="A37" s="4">
        <f>A36*PI()*($A29+$A30)</f>
        <v>5692.8064164922453</v>
      </c>
      <c r="B37" s="4">
        <f>B36*PI()*($A29+$A30)</f>
        <v>2577.028229736999</v>
      </c>
      <c r="C37" t="s">
        <v>39</v>
      </c>
      <c r="F37" t="s">
        <v>36</v>
      </c>
      <c r="Y37" s="22"/>
      <c r="Z37" s="22"/>
      <c r="AA37" s="22"/>
      <c r="AB37" s="22"/>
      <c r="AC37" s="22"/>
      <c r="AD37" s="22"/>
    </row>
    <row r="38" spans="1:30" x14ac:dyDescent="0.3">
      <c r="A38" s="25">
        <f>A37-B37</f>
        <v>3115.7781867552462</v>
      </c>
      <c r="B38" s="4"/>
      <c r="C38" t="s">
        <v>39</v>
      </c>
      <c r="F38" t="s">
        <v>80</v>
      </c>
      <c r="Y38" s="22"/>
      <c r="Z38" s="22"/>
      <c r="AA38" s="22"/>
      <c r="AB38" s="22"/>
      <c r="AC38" s="22"/>
      <c r="AD38" s="22"/>
    </row>
    <row r="39" spans="1:30" x14ac:dyDescent="0.3">
      <c r="A39" s="25">
        <f>A37+B37</f>
        <v>8269.8346462292448</v>
      </c>
      <c r="B39" s="4"/>
      <c r="C39" t="s">
        <v>39</v>
      </c>
      <c r="F39" t="s">
        <v>81</v>
      </c>
      <c r="Y39" s="23"/>
      <c r="Z39" s="22"/>
      <c r="AA39" s="22"/>
      <c r="AB39" s="22"/>
      <c r="AC39" s="22"/>
      <c r="AD39" s="22"/>
    </row>
    <row r="40" spans="1:30" x14ac:dyDescent="0.3">
      <c r="A40" s="18">
        <v>3.1E-2</v>
      </c>
      <c r="B40" s="4"/>
      <c r="C40" t="s">
        <v>9</v>
      </c>
      <c r="F40" t="s">
        <v>132</v>
      </c>
      <c r="G40" t="s">
        <v>134</v>
      </c>
      <c r="H40" s="3">
        <f>A43/0.314-1</f>
        <v>0.40127388535031838</v>
      </c>
      <c r="I40" t="s">
        <v>150</v>
      </c>
      <c r="Y40" s="23"/>
      <c r="Z40" s="22"/>
      <c r="AA40" s="22"/>
      <c r="AB40" s="22"/>
      <c r="AC40" s="22"/>
      <c r="AD40" s="22"/>
    </row>
    <row r="41" spans="1:30" ht="15.6" x14ac:dyDescent="0.3">
      <c r="A41" s="4"/>
      <c r="B41" s="4"/>
      <c r="F41" s="14" t="s">
        <v>112</v>
      </c>
      <c r="Y41" s="23"/>
      <c r="Z41" s="22"/>
      <c r="AA41" s="22"/>
      <c r="AB41" s="22"/>
      <c r="AC41" s="22"/>
      <c r="AD41" s="22"/>
    </row>
    <row r="42" spans="1:30" x14ac:dyDescent="0.3">
      <c r="A42" s="18">
        <f>A29</f>
        <v>5.4749999999999996</v>
      </c>
      <c r="B42">
        <v>1E-3</v>
      </c>
      <c r="F42" t="s">
        <v>113</v>
      </c>
      <c r="G42" t="s">
        <v>136</v>
      </c>
      <c r="Y42" s="23"/>
      <c r="Z42" s="22"/>
      <c r="AA42" s="22"/>
      <c r="AB42" s="22"/>
      <c r="AC42" s="22"/>
      <c r="AD42" s="22"/>
    </row>
    <row r="43" spans="1:30" x14ac:dyDescent="0.3">
      <c r="A43" s="19">
        <v>0.44</v>
      </c>
      <c r="B43">
        <v>1E-3</v>
      </c>
      <c r="F43" t="s">
        <v>154</v>
      </c>
      <c r="G43" t="s">
        <v>136</v>
      </c>
      <c r="Y43" s="23"/>
      <c r="Z43" s="22"/>
      <c r="AA43" s="22"/>
      <c r="AB43" s="22"/>
      <c r="AC43" s="22"/>
      <c r="AD43" s="22"/>
    </row>
    <row r="44" spans="1:30" x14ac:dyDescent="0.3">
      <c r="A44" s="27">
        <f>A42+2*A43</f>
        <v>6.3549999999999995</v>
      </c>
      <c r="F44" t="s">
        <v>135</v>
      </c>
      <c r="G44" s="28" t="s">
        <v>163</v>
      </c>
      <c r="Y44" s="23"/>
      <c r="Z44" s="22"/>
      <c r="AA44" s="22"/>
      <c r="AB44" s="22"/>
      <c r="AC44" s="22"/>
      <c r="AD44" s="22"/>
    </row>
    <row r="45" spans="1:30" x14ac:dyDescent="0.3">
      <c r="A45" s="19">
        <v>0.152</v>
      </c>
      <c r="B45">
        <v>1E-3</v>
      </c>
      <c r="F45" t="s">
        <v>115</v>
      </c>
      <c r="G45" t="s">
        <v>136</v>
      </c>
      <c r="Y45" s="23"/>
      <c r="Z45" s="24"/>
      <c r="AA45" s="22"/>
      <c r="AB45" s="22"/>
      <c r="AC45" s="22"/>
      <c r="AD45" s="22"/>
    </row>
    <row r="46" spans="1:30" x14ac:dyDescent="0.3">
      <c r="A46" s="20">
        <f>A43*(A45+A76)</f>
        <v>6.9080000000000003E-2</v>
      </c>
      <c r="C46" t="s">
        <v>97</v>
      </c>
      <c r="F46" t="s">
        <v>137</v>
      </c>
    </row>
    <row r="47" spans="1:30" x14ac:dyDescent="0.3">
      <c r="A47" s="20">
        <f>A43*(A45+A75)</f>
        <v>8.0520000000000008E-2</v>
      </c>
      <c r="C47" t="s">
        <v>97</v>
      </c>
      <c r="F47" t="s">
        <v>138</v>
      </c>
    </row>
    <row r="48" spans="1:30" x14ac:dyDescent="0.3">
      <c r="A48" s="20">
        <f>A43*(A45+A74)</f>
        <v>7.4800000000000005E-2</v>
      </c>
      <c r="C48" t="s">
        <v>97</v>
      </c>
      <c r="F48" t="s">
        <v>139</v>
      </c>
    </row>
    <row r="49" spans="1:23" x14ac:dyDescent="0.3">
      <c r="A49" s="3">
        <v>0.75</v>
      </c>
      <c r="C49" t="s">
        <v>8</v>
      </c>
      <c r="F49" t="s">
        <v>143</v>
      </c>
      <c r="G49" t="s">
        <v>145</v>
      </c>
      <c r="J49">
        <f>0.5-I50</f>
        <v>0.47382139034407472</v>
      </c>
    </row>
    <row r="50" spans="1:23" x14ac:dyDescent="0.3">
      <c r="A50" s="21">
        <f>PI()*(A30-B30)^2/4/A47</f>
        <v>0.70581466097370538</v>
      </c>
      <c r="F50" t="s">
        <v>140</v>
      </c>
      <c r="H50">
        <f>SIN(PI()/180)*3</f>
        <v>5.2357219311850535E-2</v>
      </c>
      <c r="I50">
        <f>H50/2</f>
        <v>2.6178609655925267E-2</v>
      </c>
    </row>
    <row r="51" spans="1:23" x14ac:dyDescent="0.3">
      <c r="A51" s="21">
        <f>PI()*(A30+B30)^2/4/A46</f>
        <v>0.89773920642770588</v>
      </c>
      <c r="F51" t="s">
        <v>141</v>
      </c>
    </row>
    <row r="52" spans="1:23" x14ac:dyDescent="0.3">
      <c r="A52" s="21">
        <f>PI()*(A30)^2/4/A48</f>
        <v>0.7940606431408026</v>
      </c>
      <c r="F52" t="s">
        <v>142</v>
      </c>
      <c r="I52">
        <f>0.275/2</f>
        <v>0.13750000000000001</v>
      </c>
    </row>
    <row r="53" spans="1:23" ht="15.6" x14ac:dyDescent="0.3">
      <c r="F53" s="14" t="s">
        <v>82</v>
      </c>
      <c r="I53" t="s">
        <v>155</v>
      </c>
    </row>
    <row r="54" spans="1:23" x14ac:dyDescent="0.3">
      <c r="A54" t="s">
        <v>84</v>
      </c>
      <c r="F54" t="s">
        <v>83</v>
      </c>
    </row>
    <row r="55" spans="1:23" x14ac:dyDescent="0.3">
      <c r="A55">
        <v>5.99</v>
      </c>
      <c r="F55" t="s">
        <v>89</v>
      </c>
    </row>
    <row r="56" spans="1:23" x14ac:dyDescent="0.3">
      <c r="A56">
        <f>5.38+0.05</f>
        <v>5.43</v>
      </c>
      <c r="C56" t="s">
        <v>9</v>
      </c>
      <c r="F56" t="s">
        <v>90</v>
      </c>
    </row>
    <row r="57" spans="1:23" x14ac:dyDescent="0.3">
      <c r="A57">
        <f>A55-A56</f>
        <v>0.5600000000000005</v>
      </c>
      <c r="C57" t="s">
        <v>9</v>
      </c>
      <c r="F57" t="s">
        <v>85</v>
      </c>
    </row>
    <row r="58" spans="1:23" ht="28.8" x14ac:dyDescent="0.3">
      <c r="A58">
        <f>(A55+A56)/2</f>
        <v>5.71</v>
      </c>
      <c r="C58" t="s">
        <v>9</v>
      </c>
      <c r="F58" t="s">
        <v>91</v>
      </c>
      <c r="G58" t="s">
        <v>93</v>
      </c>
      <c r="T58" s="5" t="s">
        <v>205</v>
      </c>
      <c r="U58" s="32" t="s">
        <v>206</v>
      </c>
      <c r="V58" s="32" t="s">
        <v>207</v>
      </c>
      <c r="W58" s="32" t="s">
        <v>208</v>
      </c>
    </row>
    <row r="59" spans="1:23" x14ac:dyDescent="0.3">
      <c r="A59">
        <v>0.125</v>
      </c>
      <c r="B59">
        <v>1E-3</v>
      </c>
      <c r="C59" t="s">
        <v>9</v>
      </c>
      <c r="F59" t="s">
        <v>88</v>
      </c>
      <c r="T59" s="6">
        <v>0.15</v>
      </c>
      <c r="U59" s="51">
        <v>9.5999999999999991E-7</v>
      </c>
      <c r="V59" s="5">
        <f>0.76*U59</f>
        <v>7.2959999999999997E-7</v>
      </c>
      <c r="W59" s="5">
        <f>V59/2.74</f>
        <v>2.6627737226277368E-7</v>
      </c>
    </row>
    <row r="60" spans="1:23" x14ac:dyDescent="0.3">
      <c r="A60" s="8">
        <v>500000</v>
      </c>
      <c r="C60" t="s">
        <v>26</v>
      </c>
      <c r="F60" t="s">
        <v>86</v>
      </c>
      <c r="T60" s="6">
        <v>0.3</v>
      </c>
      <c r="U60" s="51">
        <v>4.7999999999999996E-7</v>
      </c>
      <c r="V60" s="5">
        <f>0.76*U60</f>
        <v>3.6479999999999998E-7</v>
      </c>
      <c r="W60" s="5">
        <f>V60/2.74</f>
        <v>1.3313868613138684E-7</v>
      </c>
    </row>
    <row r="61" spans="1:23" x14ac:dyDescent="0.3">
      <c r="A61" s="8">
        <f>A59*A39/(PI()*((A56/2+A57)^2-(A56/2)^2))/A60</f>
        <v>1.9618785214941547E-4</v>
      </c>
      <c r="C61" t="s">
        <v>9</v>
      </c>
      <c r="F61" t="s">
        <v>87</v>
      </c>
      <c r="T61" s="6">
        <v>0.5</v>
      </c>
      <c r="U61" s="51">
        <v>2.6E-7</v>
      </c>
      <c r="V61" s="5">
        <f>0.76*U61</f>
        <v>1.976E-7</v>
      </c>
      <c r="W61" s="5">
        <f>V61/2.74</f>
        <v>7.2116788321167876E-8</v>
      </c>
    </row>
    <row r="62" spans="1:23" ht="15.6" x14ac:dyDescent="0.3">
      <c r="A62" s="8"/>
      <c r="F62" s="14" t="s">
        <v>104</v>
      </c>
      <c r="S62" s="5" t="s">
        <v>182</v>
      </c>
      <c r="T62" s="6">
        <f>C72</f>
        <v>0.33454545454545453</v>
      </c>
      <c r="U62" s="5"/>
      <c r="V62" s="5"/>
      <c r="W62" s="5">
        <f>0.00000003*T62^-1.08</f>
        <v>9.788354971727549E-8</v>
      </c>
    </row>
    <row r="63" spans="1:23" x14ac:dyDescent="0.3">
      <c r="A63" s="17"/>
      <c r="B63" s="17">
        <f>B19</f>
        <v>1E-3</v>
      </c>
      <c r="C63" t="s">
        <v>9</v>
      </c>
      <c r="F63" t="s">
        <v>105</v>
      </c>
      <c r="S63" s="5" t="s">
        <v>183</v>
      </c>
      <c r="T63" s="6">
        <f>C73</f>
        <v>0.42909090909090908</v>
      </c>
      <c r="U63" s="5"/>
      <c r="V63" s="5"/>
      <c r="W63" s="5">
        <f>0.00000003*T63^-1.08</f>
        <v>7.4811436877111842E-8</v>
      </c>
    </row>
    <row r="64" spans="1:23" x14ac:dyDescent="0.3">
      <c r="A64" s="17"/>
      <c r="B64" s="17">
        <f>B25</f>
        <v>1E-3</v>
      </c>
      <c r="C64" t="s">
        <v>9</v>
      </c>
      <c r="F64" t="s">
        <v>106</v>
      </c>
    </row>
    <row r="65" spans="1:6" x14ac:dyDescent="0.3">
      <c r="A65" s="17"/>
      <c r="B65" s="17">
        <f>B45</f>
        <v>1E-3</v>
      </c>
      <c r="C65" t="s">
        <v>9</v>
      </c>
      <c r="F65" t="s">
        <v>107</v>
      </c>
    </row>
    <row r="66" spans="1:6" x14ac:dyDescent="0.3">
      <c r="A66" s="17"/>
      <c r="B66" s="17">
        <f>B59</f>
        <v>1E-3</v>
      </c>
      <c r="C66" t="s">
        <v>9</v>
      </c>
      <c r="F66" t="s">
        <v>108</v>
      </c>
    </row>
    <row r="67" spans="1:6" x14ac:dyDescent="0.3">
      <c r="A67" s="17"/>
      <c r="B67" s="17">
        <f>A61</f>
        <v>1.9618785214941547E-4</v>
      </c>
      <c r="C67" t="s">
        <v>9</v>
      </c>
      <c r="F67" t="s">
        <v>123</v>
      </c>
    </row>
    <row r="68" spans="1:6" x14ac:dyDescent="0.3">
      <c r="A68" s="17"/>
      <c r="B68" s="17">
        <f>B30</f>
        <v>6.0000000000000001E-3</v>
      </c>
      <c r="C68" t="s">
        <v>9</v>
      </c>
      <c r="F68" t="s">
        <v>133</v>
      </c>
    </row>
    <row r="69" spans="1:6" x14ac:dyDescent="0.3">
      <c r="A69" s="17"/>
      <c r="B69" s="17">
        <f>B9</f>
        <v>0.01</v>
      </c>
      <c r="C69" t="s">
        <v>9</v>
      </c>
      <c r="F69" t="s">
        <v>109</v>
      </c>
    </row>
    <row r="70" spans="1:6" x14ac:dyDescent="0.3">
      <c r="A70" s="17"/>
      <c r="B70" s="17">
        <f>SUM(B63:B69)</f>
        <v>2.0196187852149418E-2</v>
      </c>
      <c r="C70" t="s">
        <v>9</v>
      </c>
      <c r="F70" t="s">
        <v>110</v>
      </c>
    </row>
    <row r="71" spans="1:6" x14ac:dyDescent="0.3">
      <c r="A71" s="18">
        <f>A30-A45-A74</f>
        <v>0.10500000000000001</v>
      </c>
      <c r="B71" s="17"/>
      <c r="C71" s="21">
        <f>A71/A30</f>
        <v>0.38181818181818183</v>
      </c>
      <c r="F71" t="s">
        <v>146</v>
      </c>
    </row>
    <row r="72" spans="1:6" x14ac:dyDescent="0.3">
      <c r="A72" s="18">
        <f>A30-A45-A75</f>
        <v>9.1999999999999998E-2</v>
      </c>
      <c r="B72" s="17"/>
      <c r="C72" s="21">
        <f>A72/A30</f>
        <v>0.33454545454545453</v>
      </c>
      <c r="F72" t="s">
        <v>147</v>
      </c>
    </row>
    <row r="73" spans="1:6" x14ac:dyDescent="0.3">
      <c r="A73" s="17">
        <f>A30-A45-A76</f>
        <v>0.11800000000000001</v>
      </c>
      <c r="B73" s="17"/>
      <c r="C73" s="21">
        <f>A73/A30</f>
        <v>0.42909090909090908</v>
      </c>
      <c r="F73" t="s">
        <v>148</v>
      </c>
    </row>
    <row r="74" spans="1:6" x14ac:dyDescent="0.3">
      <c r="A74" s="17">
        <f>A19+A25-A59-A9</f>
        <v>1.8000000000000016E-2</v>
      </c>
      <c r="C74" t="s">
        <v>9</v>
      </c>
      <c r="F74" t="s">
        <v>130</v>
      </c>
    </row>
    <row r="75" spans="1:6" x14ac:dyDescent="0.3">
      <c r="A75" s="17">
        <f>A19+B19+A25+B25-A59+B59-A9+B9</f>
        <v>3.1000000000000021E-2</v>
      </c>
      <c r="B75" s="17"/>
      <c r="C75" t="s">
        <v>9</v>
      </c>
      <c r="F75" t="s">
        <v>131</v>
      </c>
    </row>
    <row r="76" spans="1:6" x14ac:dyDescent="0.3">
      <c r="A76" s="18">
        <f>A19-B19+A25-B25-A59-B59-A9-B9</f>
        <v>5.0000000000000131E-3</v>
      </c>
      <c r="C76" t="s">
        <v>9</v>
      </c>
      <c r="F76" t="s">
        <v>111</v>
      </c>
    </row>
    <row r="77" spans="1:6" ht="15.6" x14ac:dyDescent="0.3">
      <c r="F77" s="14" t="s">
        <v>74</v>
      </c>
    </row>
    <row r="78" spans="1:6" x14ac:dyDescent="0.3">
      <c r="A78">
        <v>6</v>
      </c>
      <c r="F78" t="s">
        <v>75</v>
      </c>
    </row>
    <row r="79" spans="1:6" x14ac:dyDescent="0.3">
      <c r="A79" s="16" t="s">
        <v>103</v>
      </c>
      <c r="F79" t="s">
        <v>78</v>
      </c>
    </row>
    <row r="80" spans="1:6" x14ac:dyDescent="0.3">
      <c r="A80">
        <f>5/16</f>
        <v>0.3125</v>
      </c>
      <c r="C80" t="s">
        <v>9</v>
      </c>
      <c r="F80" t="s">
        <v>76</v>
      </c>
    </row>
    <row r="81" spans="1:7" x14ac:dyDescent="0.3">
      <c r="A81">
        <v>0.26140000000000002</v>
      </c>
      <c r="C81" t="s">
        <v>9</v>
      </c>
      <c r="F81" t="s">
        <v>77</v>
      </c>
    </row>
    <row r="82" spans="1:7" x14ac:dyDescent="0.3">
      <c r="A82">
        <f>PI()*A81^2/4</f>
        <v>5.3666225089021115E-2</v>
      </c>
      <c r="C82" t="s">
        <v>97</v>
      </c>
      <c r="F82" t="s">
        <v>94</v>
      </c>
    </row>
    <row r="83" spans="1:7" x14ac:dyDescent="0.3">
      <c r="A83" s="4">
        <f>A39/A78</f>
        <v>1378.3057743715408</v>
      </c>
      <c r="C83" t="s">
        <v>39</v>
      </c>
      <c r="F83" t="s">
        <v>95</v>
      </c>
    </row>
    <row r="84" spans="1:7" x14ac:dyDescent="0.3">
      <c r="A84">
        <f>A83/A82</f>
        <v>25682.927615743756</v>
      </c>
      <c r="C84" t="s">
        <v>26</v>
      </c>
      <c r="F84" t="s">
        <v>96</v>
      </c>
    </row>
    <row r="85" spans="1:7" x14ac:dyDescent="0.3">
      <c r="A85">
        <v>5510</v>
      </c>
      <c r="C85" t="s">
        <v>39</v>
      </c>
      <c r="F85" t="s">
        <v>98</v>
      </c>
      <c r="G85" t="s">
        <v>99</v>
      </c>
    </row>
    <row r="86" spans="1:7" x14ac:dyDescent="0.3">
      <c r="A86">
        <v>30000</v>
      </c>
      <c r="C86" t="s">
        <v>26</v>
      </c>
      <c r="F86" t="s">
        <v>100</v>
      </c>
      <c r="G86" t="s">
        <v>99</v>
      </c>
    </row>
    <row r="87" spans="1:7" x14ac:dyDescent="0.3">
      <c r="A87">
        <v>95000</v>
      </c>
      <c r="C87" t="s">
        <v>26</v>
      </c>
      <c r="F87" t="s">
        <v>101</v>
      </c>
      <c r="G87" t="s">
        <v>99</v>
      </c>
    </row>
    <row r="88" spans="1:7" x14ac:dyDescent="0.3">
      <c r="A88">
        <v>190</v>
      </c>
      <c r="C88" t="s">
        <v>52</v>
      </c>
      <c r="F88" t="s">
        <v>102</v>
      </c>
      <c r="G88" t="s">
        <v>99</v>
      </c>
    </row>
    <row r="90" spans="1:7" x14ac:dyDescent="0.3">
      <c r="A90">
        <f>A94*PI()*A5^2/4</f>
        <v>415.63270806992961</v>
      </c>
      <c r="C90" t="s">
        <v>39</v>
      </c>
      <c r="F90" t="s">
        <v>37</v>
      </c>
    </row>
    <row r="93" spans="1:7" ht="43.2" x14ac:dyDescent="0.3">
      <c r="A93">
        <f>(0.8*0.233+0.2*1.7)*0.00000001</f>
        <v>5.264E-9</v>
      </c>
      <c r="C93" s="12" t="s">
        <v>24</v>
      </c>
      <c r="D93" s="12"/>
      <c r="E93" s="12"/>
      <c r="F93" t="s">
        <v>31</v>
      </c>
    </row>
    <row r="94" spans="1:7" x14ac:dyDescent="0.3">
      <c r="A94">
        <v>14.7</v>
      </c>
      <c r="C94" t="s">
        <v>26</v>
      </c>
      <c r="F94" t="s">
        <v>53</v>
      </c>
    </row>
    <row r="95" spans="1:7" x14ac:dyDescent="0.3">
      <c r="A95">
        <v>1</v>
      </c>
      <c r="C95" t="s">
        <v>8</v>
      </c>
      <c r="F95" t="s">
        <v>27</v>
      </c>
    </row>
    <row r="96" spans="1:7" x14ac:dyDescent="0.3">
      <c r="A96">
        <f>A33/100</f>
        <v>5.0000000000000001E-3</v>
      </c>
      <c r="C96" t="s">
        <v>8</v>
      </c>
      <c r="F96" t="s">
        <v>28</v>
      </c>
    </row>
    <row r="97" spans="1:6" x14ac:dyDescent="0.3">
      <c r="A97">
        <f>0.7*A93*A29*A94*A95*(1-A96)^2</f>
        <v>2.936037108879E-7</v>
      </c>
      <c r="C97" t="s">
        <v>23</v>
      </c>
      <c r="F97" t="s">
        <v>30</v>
      </c>
    </row>
    <row r="98" spans="1:6" x14ac:dyDescent="0.3">
      <c r="C98" t="s">
        <v>32</v>
      </c>
      <c r="F98" t="s">
        <v>29</v>
      </c>
    </row>
    <row r="101" spans="1:6" x14ac:dyDescent="0.3">
      <c r="C101" s="1" t="s">
        <v>44</v>
      </c>
      <c r="D101" s="1"/>
      <c r="E101" s="1"/>
      <c r="F101" t="s">
        <v>45</v>
      </c>
    </row>
    <row r="102" spans="1:6" x14ac:dyDescent="0.3">
      <c r="F102" t="s">
        <v>46</v>
      </c>
    </row>
    <row r="103" spans="1:6" x14ac:dyDescent="0.3">
      <c r="F103" t="s">
        <v>56</v>
      </c>
    </row>
    <row r="104" spans="1:6" x14ac:dyDescent="0.3">
      <c r="A104">
        <f>(A29+A30)/2</f>
        <v>2.875</v>
      </c>
      <c r="C104" t="s">
        <v>9</v>
      </c>
      <c r="F104" t="s">
        <v>47</v>
      </c>
    </row>
    <row r="105" spans="1:6" x14ac:dyDescent="0.3">
      <c r="A105">
        <f>A11*A9^3/(12*(1-A12^2))</f>
        <v>383953.6363250736</v>
      </c>
      <c r="C105" t="s">
        <v>52</v>
      </c>
      <c r="F105" t="s">
        <v>48</v>
      </c>
    </row>
    <row r="106" spans="1:6" x14ac:dyDescent="0.3">
      <c r="A106">
        <f>1/64</f>
        <v>1.5625E-2</v>
      </c>
      <c r="C106" t="s">
        <v>8</v>
      </c>
      <c r="F106" t="s">
        <v>54</v>
      </c>
    </row>
    <row r="107" spans="1:6" x14ac:dyDescent="0.3">
      <c r="A107">
        <f>(1-(1-A12)/4)/4</f>
        <v>0.19793749999999999</v>
      </c>
      <c r="C107" t="s">
        <v>8</v>
      </c>
      <c r="F107" t="s">
        <v>55</v>
      </c>
    </row>
    <row r="108" spans="1:6" x14ac:dyDescent="0.3">
      <c r="A108">
        <f>(-A94*A104^4)*(5+A12)/(64*A105*(1+A12))</f>
        <v>-1.8095791236262242E-4</v>
      </c>
      <c r="C108" t="s">
        <v>9</v>
      </c>
      <c r="F108" t="s">
        <v>57</v>
      </c>
    </row>
    <row r="109" spans="1:6" x14ac:dyDescent="0.3">
      <c r="A109">
        <f>A94*A104^2*(3+A12)/16</f>
        <v>24.050334082031245</v>
      </c>
      <c r="C109" t="s">
        <v>58</v>
      </c>
      <c r="F109" t="s">
        <v>59</v>
      </c>
    </row>
    <row r="110" spans="1:6" x14ac:dyDescent="0.3">
      <c r="A110">
        <f>6*A109/A9^2</f>
        <v>256.53689687499997</v>
      </c>
      <c r="C110" t="s">
        <v>26</v>
      </c>
      <c r="D110" s="8">
        <f>A110*6894.75729</f>
        <v>1768759.6398828842</v>
      </c>
      <c r="E110" t="s">
        <v>60</v>
      </c>
      <c r="F110" t="s">
        <v>61</v>
      </c>
    </row>
    <row r="111" spans="1:6" x14ac:dyDescent="0.3">
      <c r="A111" s="11">
        <v>3</v>
      </c>
      <c r="B111" s="11"/>
      <c r="C111" t="s">
        <v>8</v>
      </c>
      <c r="F111" t="s">
        <v>63</v>
      </c>
    </row>
    <row r="112" spans="1:6" x14ac:dyDescent="0.3">
      <c r="A112" s="11">
        <f>A13/A110/3-1</f>
        <v>8.4227990569539593</v>
      </c>
      <c r="B112" s="11"/>
      <c r="C112" t="s">
        <v>8</v>
      </c>
      <c r="F112" t="s">
        <v>62</v>
      </c>
    </row>
    <row r="113" spans="1:3" x14ac:dyDescent="0.3">
      <c r="A113" s="8"/>
      <c r="B113" s="8"/>
    </row>
    <row r="115" spans="1:3" x14ac:dyDescent="0.3">
      <c r="C115" t="s">
        <v>13</v>
      </c>
    </row>
    <row r="116" spans="1:3" x14ac:dyDescent="0.3">
      <c r="C116" t="s">
        <v>14</v>
      </c>
    </row>
    <row r="117" spans="1:3" x14ac:dyDescent="0.3">
      <c r="C117" t="s">
        <v>15</v>
      </c>
    </row>
    <row r="118" spans="1:3" x14ac:dyDescent="0.3">
      <c r="C118" t="s">
        <v>16</v>
      </c>
    </row>
    <row r="119" spans="1:3" x14ac:dyDescent="0.3">
      <c r="C119" t="s">
        <v>19</v>
      </c>
    </row>
    <row r="120" spans="1:3" x14ac:dyDescent="0.3">
      <c r="C120" t="s">
        <v>20</v>
      </c>
    </row>
    <row r="121" spans="1:3" x14ac:dyDescent="0.3">
      <c r="C121" t="s">
        <v>21</v>
      </c>
    </row>
    <row r="122" spans="1:3" x14ac:dyDescent="0.3">
      <c r="C122" t="s">
        <v>22</v>
      </c>
    </row>
    <row r="123" spans="1:3" x14ac:dyDescent="0.3">
      <c r="C123" t="s">
        <v>33</v>
      </c>
    </row>
    <row r="124" spans="1:3" x14ac:dyDescent="0.3">
      <c r="C124" t="s">
        <v>34</v>
      </c>
    </row>
    <row r="138" spans="8:10" x14ac:dyDescent="0.3">
      <c r="H138">
        <f>(254-201)/(284-201)</f>
        <v>0.63855421686746983</v>
      </c>
      <c r="I138">
        <f>0.101+H138*0.006</f>
        <v>0.10483132530120483</v>
      </c>
      <c r="J138">
        <f>0.158+H138*(0.164-0.158)</f>
        <v>0.16183132530120484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SLC 6in no wedge summary</vt:lpstr>
      <vt:lpstr>SLC 6in no wedge #2-253 WHAT IF</vt:lpstr>
      <vt:lpstr>SLC - 6in no wedge #2-253</vt:lpstr>
      <vt:lpstr>SLC - 6in no wedge #2-254</vt:lpstr>
      <vt:lpstr>SLC - 6in no wedge #2-355</vt:lpstr>
      <vt:lpstr>SLC - 6in no wedge #2-356</vt:lpstr>
      <vt:lpstr>SLC - 6in no wedge #2-357</vt:lpstr>
      <vt:lpstr>SLC - 6in no wedge #2-432</vt:lpstr>
      <vt:lpstr>SLC - 6in no wedge #2-433</vt:lpstr>
      <vt:lpstr>volume considerations</vt:lpstr>
      <vt:lpstr>thread engagement</vt:lpstr>
      <vt:lpstr>'SLC 6in no wedge summary'!Print_Area</vt:lpstr>
    </vt:vector>
  </TitlesOfParts>
  <Company>Caltech, PMA, LIGO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Coyne</dc:creator>
  <cp:lastModifiedBy>coyne</cp:lastModifiedBy>
  <cp:lastPrinted>2011-05-26T18:48:53Z</cp:lastPrinted>
  <dcterms:created xsi:type="dcterms:W3CDTF">2011-05-23T15:27:08Z</dcterms:created>
  <dcterms:modified xsi:type="dcterms:W3CDTF">2011-06-30T13:42:48Z</dcterms:modified>
</cp:coreProperties>
</file>