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yne\post-retirement work\CaF2\"/>
    </mc:Choice>
  </mc:AlternateContent>
  <xr:revisionPtr revIDLastSave="0" documentId="13_ncr:1_{A9689DEE-E3E0-4530-AEB1-10A21889B68E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proof tests" sheetId="5" r:id="rId1"/>
    <sheet name="circular plate" sheetId="1" r:id="rId2"/>
    <sheet name="Chart1" sheetId="4" r:id="rId3"/>
    <sheet name="lifetime fused silic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5" l="1"/>
  <c r="G16" i="5"/>
  <c r="S16" i="5"/>
  <c r="U16" i="5"/>
  <c r="I30" i="5"/>
  <c r="I31" i="5"/>
  <c r="I29" i="5"/>
  <c r="I27" i="5"/>
  <c r="P16" i="5"/>
  <c r="O16" i="5"/>
  <c r="Q16" i="5"/>
  <c r="Y16" i="5" s="1"/>
  <c r="Z16" i="5" s="1"/>
  <c r="Z7" i="5"/>
  <c r="Z5" i="5"/>
  <c r="V16" i="5" l="1"/>
  <c r="W16" i="5" s="1"/>
  <c r="O15" i="5"/>
  <c r="P15" i="5" s="1"/>
  <c r="S15" i="5" s="1"/>
  <c r="H15" i="5"/>
  <c r="Q15" i="5" s="1"/>
  <c r="R14" i="5"/>
  <c r="V14" i="5" s="1"/>
  <c r="W14" i="5" s="1"/>
  <c r="O14" i="5"/>
  <c r="P14" i="5" s="1"/>
  <c r="S14" i="5" s="1"/>
  <c r="H14" i="5"/>
  <c r="Q14" i="5" s="1"/>
  <c r="Y14" i="5" s="1"/>
  <c r="Z14" i="5" l="1"/>
  <c r="V15" i="5"/>
  <c r="W15" i="5" s="1"/>
  <c r="Y15" i="5"/>
  <c r="Z15" i="5" s="1"/>
  <c r="F28" i="5"/>
  <c r="O13" i="5"/>
  <c r="O12" i="5"/>
  <c r="P12" i="5" s="1"/>
  <c r="O11" i="5"/>
  <c r="P11" i="5" s="1"/>
  <c r="S11" i="5" s="1"/>
  <c r="O10" i="5"/>
  <c r="P10" i="5" s="1"/>
  <c r="S10" i="5" s="1"/>
  <c r="O9" i="5"/>
  <c r="P9" i="5" s="1"/>
  <c r="O8" i="5"/>
  <c r="P8" i="5" s="1"/>
  <c r="O6" i="5"/>
  <c r="P6" i="5" s="1"/>
  <c r="R10" i="5"/>
  <c r="V10" i="5" s="1"/>
  <c r="W10" i="5" s="1"/>
  <c r="H13" i="5"/>
  <c r="Q13" i="5" s="1"/>
  <c r="Y13" i="5" s="1"/>
  <c r="H28" i="5"/>
  <c r="H30" i="5" s="1"/>
  <c r="U13" i="5" s="1"/>
  <c r="V13" i="5" s="1"/>
  <c r="W13" i="5" s="1"/>
  <c r="F27" i="5"/>
  <c r="F30" i="5"/>
  <c r="F32" i="5" s="1"/>
  <c r="F29" i="5"/>
  <c r="H27" i="5"/>
  <c r="H11" i="5"/>
  <c r="H10" i="5"/>
  <c r="H9" i="5"/>
  <c r="Q9" i="5" s="1"/>
  <c r="H8" i="5"/>
  <c r="Q8" i="5" s="1"/>
  <c r="Y8" i="5" s="1"/>
  <c r="H12" i="5"/>
  <c r="Q12" i="5" s="1"/>
  <c r="R8" i="5"/>
  <c r="V8" i="5" s="1"/>
  <c r="W8" i="5" s="1"/>
  <c r="B44" i="5"/>
  <c r="B42" i="5"/>
  <c r="B40" i="5"/>
  <c r="B38" i="5"/>
  <c r="Q11" i="5"/>
  <c r="Q10" i="5"/>
  <c r="Y10" i="5" s="1"/>
  <c r="H7" i="5"/>
  <c r="Q7" i="5" s="1"/>
  <c r="Y7" i="5" s="1"/>
  <c r="H5" i="5"/>
  <c r="Q5" i="5" s="1"/>
  <c r="Y5" i="5" s="1"/>
  <c r="H6" i="5"/>
  <c r="Q6" i="5"/>
  <c r="Y6" i="5" s="1"/>
  <c r="C25" i="1"/>
  <c r="W7" i="5"/>
  <c r="W5" i="5"/>
  <c r="C8" i="1"/>
  <c r="G8" i="1"/>
  <c r="A4" i="1"/>
  <c r="A11" i="1" s="1"/>
  <c r="A20" i="1"/>
  <c r="H23" i="1" s="1"/>
  <c r="A19" i="1"/>
  <c r="A12" i="1"/>
  <c r="A10" i="1"/>
  <c r="T24" i="2"/>
  <c r="S24" i="2"/>
  <c r="R24" i="2"/>
  <c r="Q24" i="2"/>
  <c r="P24" i="2"/>
  <c r="O24" i="2"/>
  <c r="L28" i="2"/>
  <c r="C30" i="2"/>
  <c r="C31" i="2"/>
  <c r="A27" i="2"/>
  <c r="G22" i="2"/>
  <c r="G29" i="2" s="1"/>
  <c r="G30" i="2" s="1"/>
  <c r="H28" i="2"/>
  <c r="A21" i="2"/>
  <c r="C21" i="2" s="1"/>
  <c r="A24" i="2"/>
  <c r="A6" i="2"/>
  <c r="A8" i="2" s="1"/>
  <c r="A2" i="2"/>
  <c r="A14" i="2" s="1"/>
  <c r="C14" i="2" s="1"/>
  <c r="M28" i="2"/>
  <c r="A34" i="1"/>
  <c r="A37" i="1" s="1"/>
  <c r="A28" i="1"/>
  <c r="A34" i="2"/>
  <c r="A36" i="2" s="1"/>
  <c r="A37" i="2" s="1"/>
  <c r="C37" i="2" s="1"/>
  <c r="S12" i="5" l="1"/>
  <c r="O28" i="2"/>
  <c r="S6" i="5"/>
  <c r="S8" i="5"/>
  <c r="T28" i="2"/>
  <c r="V6" i="5"/>
  <c r="W6" i="5" s="1"/>
  <c r="S9" i="5"/>
  <c r="Z6" i="5"/>
  <c r="Z8" i="5"/>
  <c r="V12" i="5"/>
  <c r="W12" i="5" s="1"/>
  <c r="Y12" i="5"/>
  <c r="Z12" i="5" s="1"/>
  <c r="Z10" i="5"/>
  <c r="V11" i="5"/>
  <c r="W11" i="5" s="1"/>
  <c r="Y11" i="5"/>
  <c r="Z11" i="5" s="1"/>
  <c r="V9" i="5"/>
  <c r="W9" i="5" s="1"/>
  <c r="Y9" i="5"/>
  <c r="Z9" i="5" s="1"/>
  <c r="Q28" i="2"/>
  <c r="P28" i="2"/>
  <c r="K28" i="2"/>
  <c r="R28" i="2"/>
  <c r="A29" i="1"/>
  <c r="S28" i="2"/>
  <c r="I28" i="2"/>
  <c r="P13" i="5"/>
  <c r="S13" i="5" s="1"/>
  <c r="A13" i="2"/>
  <c r="C13" i="2" s="1"/>
  <c r="H29" i="2"/>
  <c r="H29" i="5"/>
  <c r="H31" i="5" s="1"/>
  <c r="F31" i="5"/>
  <c r="G31" i="2"/>
  <c r="H30" i="2"/>
  <c r="C36" i="2"/>
  <c r="A30" i="1"/>
  <c r="A32" i="1" s="1"/>
  <c r="A33" i="1" s="1"/>
  <c r="A25" i="2"/>
  <c r="C25" i="2" s="1"/>
  <c r="J28" i="2"/>
  <c r="N28" i="2"/>
  <c r="Z13" i="5" l="1"/>
  <c r="S30" i="2"/>
  <c r="T30" i="2"/>
  <c r="N30" i="2"/>
  <c r="L30" i="2"/>
  <c r="Q30" i="2"/>
  <c r="M30" i="2"/>
  <c r="K30" i="2"/>
  <c r="I30" i="2"/>
  <c r="R30" i="2"/>
  <c r="J30" i="2"/>
  <c r="P30" i="2"/>
  <c r="O30" i="2"/>
  <c r="H31" i="2"/>
  <c r="G32" i="2"/>
  <c r="A31" i="1"/>
  <c r="R29" i="2"/>
  <c r="O29" i="2"/>
  <c r="Q29" i="2"/>
  <c r="T29" i="2"/>
  <c r="L29" i="2"/>
  <c r="N29" i="2"/>
  <c r="K29" i="2"/>
  <c r="J29" i="2"/>
  <c r="S29" i="2"/>
  <c r="P29" i="2"/>
  <c r="M29" i="2"/>
  <c r="I29" i="2"/>
  <c r="H32" i="2" l="1"/>
  <c r="G33" i="2"/>
  <c r="M31" i="2"/>
  <c r="S31" i="2"/>
  <c r="L31" i="2"/>
  <c r="J31" i="2"/>
  <c r="R31" i="2"/>
  <c r="O31" i="2"/>
  <c r="P31" i="2"/>
  <c r="T31" i="2"/>
  <c r="K31" i="2"/>
  <c r="Q31" i="2"/>
  <c r="I31" i="2"/>
  <c r="N31" i="2"/>
  <c r="H33" i="2" l="1"/>
  <c r="G34" i="2"/>
  <c r="O32" i="2"/>
  <c r="T32" i="2"/>
  <c r="S32" i="2"/>
  <c r="M32" i="2"/>
  <c r="R32" i="2"/>
  <c r="P32" i="2"/>
  <c r="J32" i="2"/>
  <c r="Q32" i="2"/>
  <c r="L32" i="2"/>
  <c r="N32" i="2"/>
  <c r="I32" i="2"/>
  <c r="K32" i="2"/>
  <c r="G35" i="2" l="1"/>
  <c r="H34" i="2"/>
  <c r="I33" i="2"/>
  <c r="N33" i="2"/>
  <c r="L33" i="2"/>
  <c r="M33" i="2"/>
  <c r="M19" i="2" s="1"/>
  <c r="M16" i="2" s="1"/>
  <c r="S33" i="2"/>
  <c r="R33" i="2"/>
  <c r="Q33" i="2"/>
  <c r="K33" i="2"/>
  <c r="O33" i="2"/>
  <c r="J33" i="2"/>
  <c r="P33" i="2"/>
  <c r="T33" i="2"/>
  <c r="H19" i="2"/>
  <c r="H16" i="2" s="1"/>
  <c r="I34" i="2" l="1"/>
  <c r="O34" i="2"/>
  <c r="K34" i="2"/>
  <c r="P34" i="2"/>
  <c r="L34" i="2"/>
  <c r="N34" i="2"/>
  <c r="M34" i="2"/>
  <c r="T34" i="2"/>
  <c r="Q34" i="2"/>
  <c r="R34" i="2"/>
  <c r="S34" i="2"/>
  <c r="J34" i="2"/>
  <c r="G36" i="2"/>
  <c r="H35" i="2"/>
  <c r="G37" i="2" l="1"/>
  <c r="H36" i="2"/>
  <c r="J35" i="2"/>
  <c r="R35" i="2"/>
  <c r="I35" i="2"/>
  <c r="Q35" i="2"/>
  <c r="T35" i="2"/>
  <c r="M35" i="2"/>
  <c r="P35" i="2"/>
  <c r="K35" i="2"/>
  <c r="N35" i="2"/>
  <c r="L35" i="2"/>
  <c r="S35" i="2"/>
  <c r="O35" i="2"/>
  <c r="Q36" i="2" l="1"/>
  <c r="S36" i="2"/>
  <c r="N36" i="2"/>
  <c r="P36" i="2"/>
  <c r="M36" i="2"/>
  <c r="L36" i="2"/>
  <c r="J36" i="2"/>
  <c r="I36" i="2"/>
  <c r="T36" i="2"/>
  <c r="K36" i="2"/>
  <c r="R36" i="2"/>
  <c r="O36" i="2"/>
  <c r="H37" i="2"/>
  <c r="G38" i="2"/>
  <c r="Q37" i="2" l="1"/>
  <c r="I37" i="2"/>
  <c r="T37" i="2"/>
  <c r="O37" i="2"/>
  <c r="N37" i="2"/>
  <c r="M37" i="2"/>
  <c r="K37" i="2"/>
  <c r="S37" i="2"/>
  <c r="J37" i="2"/>
  <c r="P37" i="2"/>
  <c r="L37" i="2"/>
  <c r="R37" i="2"/>
  <c r="H38" i="2"/>
  <c r="G39" i="2"/>
  <c r="M38" i="2" l="1"/>
  <c r="L38" i="2"/>
  <c r="K38" i="2"/>
  <c r="P38" i="2"/>
  <c r="Q38" i="2"/>
  <c r="S38" i="2"/>
  <c r="O38" i="2"/>
  <c r="J38" i="2"/>
  <c r="R38" i="2"/>
  <c r="I38" i="2"/>
  <c r="T38" i="2"/>
  <c r="N38" i="2"/>
  <c r="H39" i="2"/>
  <c r="G40" i="2"/>
  <c r="H40" i="2" l="1"/>
  <c r="G41" i="2"/>
  <c r="P39" i="2"/>
  <c r="R39" i="2"/>
  <c r="L39" i="2"/>
  <c r="S39" i="2"/>
  <c r="N39" i="2"/>
  <c r="I39" i="2"/>
  <c r="Q39" i="2"/>
  <c r="T39" i="2"/>
  <c r="M39" i="2"/>
  <c r="K39" i="2"/>
  <c r="O39" i="2"/>
  <c r="J39" i="2"/>
  <c r="G42" i="2" l="1"/>
  <c r="H41" i="2"/>
  <c r="N40" i="2"/>
  <c r="P40" i="2"/>
  <c r="Q40" i="2"/>
  <c r="O40" i="2"/>
  <c r="M40" i="2"/>
  <c r="I40" i="2"/>
  <c r="K40" i="2"/>
  <c r="L40" i="2"/>
  <c r="T40" i="2"/>
  <c r="J40" i="2"/>
  <c r="S40" i="2"/>
  <c r="R40" i="2"/>
  <c r="R41" i="2" l="1"/>
  <c r="L41" i="2"/>
  <c r="I41" i="2"/>
  <c r="T41" i="2"/>
  <c r="Q41" i="2"/>
  <c r="O41" i="2"/>
  <c r="J41" i="2"/>
  <c r="S41" i="2"/>
  <c r="M41" i="2"/>
  <c r="K41" i="2"/>
  <c r="N41" i="2"/>
  <c r="P41" i="2"/>
  <c r="G43" i="2"/>
  <c r="H42" i="2"/>
  <c r="G44" i="2" l="1"/>
  <c r="H43" i="2"/>
  <c r="L42" i="2"/>
  <c r="I42" i="2"/>
  <c r="M42" i="2"/>
  <c r="S42" i="2"/>
  <c r="T42" i="2"/>
  <c r="R42" i="2"/>
  <c r="K42" i="2"/>
  <c r="Q42" i="2"/>
  <c r="N42" i="2"/>
  <c r="J42" i="2"/>
  <c r="P42" i="2"/>
  <c r="O42" i="2"/>
  <c r="S43" i="2" l="1"/>
  <c r="P43" i="2"/>
  <c r="I43" i="2"/>
  <c r="R43" i="2"/>
  <c r="K43" i="2"/>
  <c r="N43" i="2"/>
  <c r="L43" i="2"/>
  <c r="Q43" i="2"/>
  <c r="O43" i="2"/>
  <c r="M43" i="2"/>
  <c r="T43" i="2"/>
  <c r="J43" i="2"/>
  <c r="H44" i="2"/>
  <c r="G45" i="2"/>
  <c r="H45" i="2" l="1"/>
  <c r="G46" i="2"/>
  <c r="R44" i="2"/>
  <c r="T44" i="2"/>
  <c r="M44" i="2"/>
  <c r="K44" i="2"/>
  <c r="Q44" i="2"/>
  <c r="S44" i="2"/>
  <c r="I44" i="2"/>
  <c r="O44" i="2"/>
  <c r="P44" i="2"/>
  <c r="J44" i="2"/>
  <c r="N44" i="2"/>
  <c r="L44" i="2"/>
  <c r="G47" i="2" l="1"/>
  <c r="H46" i="2"/>
  <c r="M45" i="2"/>
  <c r="O45" i="2"/>
  <c r="L45" i="2"/>
  <c r="R45" i="2"/>
  <c r="K45" i="2"/>
  <c r="J45" i="2"/>
  <c r="T45" i="2"/>
  <c r="P45" i="2"/>
  <c r="N45" i="2"/>
  <c r="I45" i="2"/>
  <c r="S45" i="2"/>
  <c r="Q45" i="2"/>
  <c r="T46" i="2" l="1"/>
  <c r="O46" i="2"/>
  <c r="L46" i="2"/>
  <c r="S46" i="2"/>
  <c r="K46" i="2"/>
  <c r="P46" i="2"/>
  <c r="R46" i="2"/>
  <c r="N46" i="2"/>
  <c r="I46" i="2"/>
  <c r="M46" i="2"/>
  <c r="Q46" i="2"/>
  <c r="J46" i="2"/>
  <c r="H47" i="2"/>
  <c r="G48" i="2"/>
  <c r="G49" i="2" l="1"/>
  <c r="H48" i="2"/>
  <c r="L47" i="2"/>
  <c r="N47" i="2"/>
  <c r="J47" i="2"/>
  <c r="K47" i="2"/>
  <c r="M47" i="2"/>
  <c r="P47" i="2"/>
  <c r="O47" i="2"/>
  <c r="R47" i="2"/>
  <c r="Q47" i="2"/>
  <c r="I47" i="2"/>
  <c r="T47" i="2"/>
  <c r="S47" i="2"/>
  <c r="R48" i="2" l="1"/>
  <c r="P48" i="2"/>
  <c r="Q48" i="2"/>
  <c r="K48" i="2"/>
  <c r="N48" i="2"/>
  <c r="I48" i="2"/>
  <c r="O48" i="2"/>
  <c r="S48" i="2"/>
  <c r="J48" i="2"/>
  <c r="M48" i="2"/>
  <c r="L48" i="2"/>
  <c r="T48" i="2"/>
  <c r="G50" i="2"/>
  <c r="H49" i="2"/>
  <c r="G51" i="2" l="1"/>
  <c r="H50" i="2"/>
  <c r="M49" i="2"/>
  <c r="O49" i="2"/>
  <c r="P49" i="2"/>
  <c r="T49" i="2"/>
  <c r="I49" i="2"/>
  <c r="L49" i="2"/>
  <c r="K49" i="2"/>
  <c r="N49" i="2"/>
  <c r="Q49" i="2"/>
  <c r="J49" i="2"/>
  <c r="R49" i="2"/>
  <c r="S49" i="2"/>
  <c r="P50" i="2" l="1"/>
  <c r="J50" i="2"/>
  <c r="I50" i="2"/>
  <c r="K50" i="2"/>
  <c r="L50" i="2"/>
  <c r="N50" i="2"/>
  <c r="R50" i="2"/>
  <c r="M50" i="2"/>
  <c r="O50" i="2"/>
  <c r="S50" i="2"/>
  <c r="Q50" i="2"/>
  <c r="T50" i="2"/>
  <c r="G52" i="2"/>
  <c r="H51" i="2"/>
  <c r="T51" i="2" l="1"/>
  <c r="N51" i="2"/>
  <c r="I51" i="2"/>
  <c r="K51" i="2"/>
  <c r="Q51" i="2"/>
  <c r="M51" i="2"/>
  <c r="J51" i="2"/>
  <c r="L51" i="2"/>
  <c r="R51" i="2"/>
  <c r="S51" i="2"/>
  <c r="O51" i="2"/>
  <c r="P51" i="2"/>
  <c r="G53" i="2"/>
  <c r="H53" i="2" s="1"/>
  <c r="H52" i="2"/>
  <c r="T52" i="2" l="1"/>
  <c r="L52" i="2"/>
  <c r="J52" i="2"/>
  <c r="S52" i="2"/>
  <c r="I52" i="2"/>
  <c r="Q52" i="2"/>
  <c r="R52" i="2"/>
  <c r="O52" i="2"/>
  <c r="K52" i="2"/>
  <c r="N52" i="2"/>
  <c r="M52" i="2"/>
  <c r="P52" i="2"/>
  <c r="J53" i="2"/>
  <c r="P53" i="2"/>
  <c r="I53" i="2"/>
  <c r="S53" i="2"/>
  <c r="K53" i="2"/>
  <c r="N53" i="2"/>
  <c r="T53" i="2"/>
  <c r="M53" i="2"/>
  <c r="Q53" i="2"/>
  <c r="R53" i="2"/>
  <c r="L53" i="2"/>
  <c r="O53" i="2"/>
</calcChain>
</file>

<file path=xl/sharedStrings.xml><?xml version="1.0" encoding="utf-8"?>
<sst xmlns="http://schemas.openxmlformats.org/spreadsheetml/2006/main" count="279" uniqueCount="168">
  <si>
    <t>value</t>
  </si>
  <si>
    <t>units</t>
  </si>
  <si>
    <t>symbol</t>
  </si>
  <si>
    <t>description</t>
  </si>
  <si>
    <t>a</t>
  </si>
  <si>
    <t>radius to center of outer support (clamping ring)</t>
  </si>
  <si>
    <t>radius to center of inner support (o-ring)</t>
  </si>
  <si>
    <t>w</t>
  </si>
  <si>
    <t>unit line load (force per unit of circumferential length)</t>
  </si>
  <si>
    <t>lb/in</t>
  </si>
  <si>
    <t>in</t>
  </si>
  <si>
    <t>E</t>
  </si>
  <si>
    <t>modulus of elasticity</t>
  </si>
  <si>
    <t>ν</t>
  </si>
  <si>
    <t>Poisson's ratio</t>
  </si>
  <si>
    <t>t</t>
  </si>
  <si>
    <t>thickness</t>
  </si>
  <si>
    <t>Flat Circular Plate of constant thickness, with a uniform annular line load and simple support</t>
  </si>
  <si>
    <t>Roark's Formulas for Stress and Strain, 6th ed., Table 24, case 9a</t>
  </si>
  <si>
    <t>D</t>
  </si>
  <si>
    <t>plate bending stiffness</t>
  </si>
  <si>
    <t>deflection at the center of the plate</t>
  </si>
  <si>
    <t>moment at the center of the plate</t>
  </si>
  <si>
    <r>
      <t>σ</t>
    </r>
    <r>
      <rPr>
        <vertAlign val="subscript"/>
        <sz val="11"/>
        <color theme="1"/>
        <rFont val="Calibri"/>
        <family val="2"/>
      </rPr>
      <t>c</t>
    </r>
  </si>
  <si>
    <r>
      <t>M</t>
    </r>
    <r>
      <rPr>
        <vertAlign val="subscript"/>
        <sz val="11"/>
        <color theme="1"/>
        <rFont val="Calibri"/>
        <family val="2"/>
        <scheme val="minor"/>
      </rPr>
      <t>c</t>
    </r>
  </si>
  <si>
    <r>
      <t>y</t>
    </r>
    <r>
      <rPr>
        <vertAlign val="subscript"/>
        <sz val="11"/>
        <color theme="1"/>
        <rFont val="Calibri"/>
        <family val="2"/>
        <scheme val="minor"/>
      </rPr>
      <t>c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</si>
  <si>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</si>
  <si>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</si>
  <si>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</si>
  <si>
    <t>psi</t>
  </si>
  <si>
    <t>Fused Silica</t>
  </si>
  <si>
    <t>Notes</t>
  </si>
  <si>
    <t>loading constant</t>
  </si>
  <si>
    <t>static fatigue stress limit?</t>
  </si>
  <si>
    <t>Pa</t>
  </si>
  <si>
    <t>FS</t>
  </si>
  <si>
    <t>allowable stress</t>
  </si>
  <si>
    <t>compare to FEA value of -0.00010 in</t>
  </si>
  <si>
    <t>compare to FEA value of 180 psi</t>
  </si>
  <si>
    <t>tensile stress at center</t>
  </si>
  <si>
    <t>yrs</t>
  </si>
  <si>
    <t>sec</t>
  </si>
  <si>
    <t>tf</t>
  </si>
  <si>
    <t>lifetime</t>
  </si>
  <si>
    <t>Kic</t>
  </si>
  <si>
    <t>critical stress intensity</t>
  </si>
  <si>
    <t xml:space="preserve"> --</t>
  </si>
  <si>
    <t>N</t>
  </si>
  <si>
    <t>crack growth parameter</t>
  </si>
  <si>
    <t>Y</t>
  </si>
  <si>
    <t>crack geometry parameter</t>
  </si>
  <si>
    <t>B</t>
  </si>
  <si>
    <t>MPa m^.5</t>
  </si>
  <si>
    <t>MPa^2 sec</t>
  </si>
  <si>
    <t>A</t>
  </si>
  <si>
    <t>m/s</t>
  </si>
  <si>
    <t>Si</t>
  </si>
  <si>
    <t>inert strength</t>
  </si>
  <si>
    <t>MPa</t>
  </si>
  <si>
    <t>sa</t>
  </si>
  <si>
    <t>from static fatigue data</t>
  </si>
  <si>
    <t>crack growth parameter, from crack propagation</t>
  </si>
  <si>
    <t>applied stress, from crack propagation</t>
  </si>
  <si>
    <t>applied stress, from static fatugue data</t>
  </si>
  <si>
    <t>F</t>
  </si>
  <si>
    <t>m</t>
  </si>
  <si>
    <t>So</t>
  </si>
  <si>
    <t>Sa</t>
  </si>
  <si>
    <t>number of pts per decade</t>
  </si>
  <si>
    <t>factor</t>
  </si>
  <si>
    <t>Si (MPa)</t>
  </si>
  <si>
    <t>Sa (MPa)</t>
  </si>
  <si>
    <t>Si (psi)</t>
  </si>
  <si>
    <t>Sa (psi)</t>
  </si>
  <si>
    <t>tf (yrs)</t>
  </si>
  <si>
    <t>tf (sec)</t>
  </si>
  <si>
    <t>Sp, proof stress</t>
  </si>
  <si>
    <t>Tmin, after Sp</t>
  </si>
  <si>
    <t>SP, proof load</t>
  </si>
  <si>
    <t>Sa at 1 atm</t>
  </si>
  <si>
    <t>atm</t>
  </si>
  <si>
    <t>radius to center of simple support (either o-ring or flex support)</t>
  </si>
  <si>
    <t>q</t>
  </si>
  <si>
    <t>applied pressure load</t>
  </si>
  <si>
    <t xml:space="preserve"> -</t>
  </si>
  <si>
    <t>in-lb</t>
  </si>
  <si>
    <t>yc</t>
  </si>
  <si>
    <t>sc</t>
  </si>
  <si>
    <t>center deflection</t>
  </si>
  <si>
    <t>surface stress at center</t>
  </si>
  <si>
    <t>Flat Circular Plate of constant thickness, with uniform pressure &amp; simple support</t>
  </si>
  <si>
    <t>Roark's Formulas for Stress and Strain, 6th ed., Table 24, case 10a with ro=0</t>
  </si>
  <si>
    <t>Viewport materials and dimensions</t>
  </si>
  <si>
    <t>Supplier</t>
  </si>
  <si>
    <t>Model Number</t>
  </si>
  <si>
    <t>Sub-Sys</t>
  </si>
  <si>
    <t>Norcal</t>
  </si>
  <si>
    <t>ZV800</t>
  </si>
  <si>
    <t>various</t>
  </si>
  <si>
    <t>7056 glass</t>
  </si>
  <si>
    <t>MDC</t>
  </si>
  <si>
    <t>9722012/450027</t>
  </si>
  <si>
    <t>Oplev</t>
  </si>
  <si>
    <t>GPa</t>
  </si>
  <si>
    <t>Flange
OD (in)</t>
  </si>
  <si>
    <t>Optic
material</t>
  </si>
  <si>
    <t>View
Dia (in)</t>
  </si>
  <si>
    <t>Optic
thick. (in)</t>
  </si>
  <si>
    <t>proof
pressure (atm)</t>
  </si>
  <si>
    <t>peak
bending
stress (MPa)</t>
  </si>
  <si>
    <t>B
(Mpa^2-s)</t>
  </si>
  <si>
    <t>N
(--)</t>
  </si>
  <si>
    <r>
      <rPr>
        <b/>
        <sz val="11"/>
        <color theme="1"/>
        <rFont val="Symbol"/>
        <family val="1"/>
        <charset val="2"/>
      </rPr>
      <t>n</t>
    </r>
    <r>
      <rPr>
        <b/>
        <sz val="11"/>
        <color theme="1"/>
        <rFont val="Calibri"/>
        <family val="2"/>
        <scheme val="minor"/>
      </rPr>
      <t xml:space="preserve">
(--)</t>
    </r>
  </si>
  <si>
    <t>E
(GPa)</t>
  </si>
  <si>
    <t>GN2
pressure
(psig)</t>
  </si>
  <si>
    <t>Type</t>
  </si>
  <si>
    <t>TCS Dual 3"</t>
  </si>
  <si>
    <t>LIGO</t>
  </si>
  <si>
    <t>D1100999</t>
  </si>
  <si>
    <t>D1101000</t>
  </si>
  <si>
    <t>D1101535</t>
  </si>
  <si>
    <t>D1101092</t>
  </si>
  <si>
    <t>D1003194</t>
  </si>
  <si>
    <t>TCS</t>
  </si>
  <si>
    <t>ISC, IO</t>
  </si>
  <si>
    <t>ZnSe</t>
  </si>
  <si>
    <t>window
Radius (in)</t>
  </si>
  <si>
    <t>Notes:</t>
  </si>
  <si>
    <t>P</t>
  </si>
  <si>
    <t>l</t>
  </si>
  <si>
    <t>I</t>
  </si>
  <si>
    <t>y</t>
  </si>
  <si>
    <t>lb</t>
  </si>
  <si>
    <t>in^4</t>
  </si>
  <si>
    <t>FEA
stress
(Mpa)</t>
  </si>
  <si>
    <t>S0</t>
  </si>
  <si>
    <t>SiO2</t>
  </si>
  <si>
    <t>sf</t>
  </si>
  <si>
    <t xml:space="preserve">1) The lifetime assumed for these proof tests is 20 years. </t>
  </si>
  <si>
    <t>3) The outer radius of the glass window is assumed to be .25" larger than the clear aperture, based on measurements for one design.</t>
  </si>
  <si>
    <t>2) The TCS Dual 3" viewport proof pressure should be the highest of the individual proof pressures of each window. This will ensure a minimum of 20 years of life in sevice.</t>
  </si>
  <si>
    <t>Factor
of
Safety</t>
  </si>
  <si>
    <t>Inert
Strength
Si (Mpa)</t>
  </si>
  <si>
    <t>S0
(Mpa)</t>
  </si>
  <si>
    <t>Limit
Stress
sf (Mpa)</t>
  </si>
  <si>
    <t>Weibull Parameters</t>
  </si>
  <si>
    <t>(MPa m^.5)^-N</t>
  </si>
  <si>
    <t>MPa^2 s</t>
  </si>
  <si>
    <t>D1101670</t>
  </si>
  <si>
    <t>IO</t>
  </si>
  <si>
    <t>PSL High Power, 6", wedged</t>
  </si>
  <si>
    <t>D1101714</t>
  </si>
  <si>
    <t>AOS Commercial 6"</t>
  </si>
  <si>
    <t>AOS Commercial 7.8"</t>
  </si>
  <si>
    <t>AOS Commercial 4.5"</t>
  </si>
  <si>
    <t>AOS High Quality 6"</t>
  </si>
  <si>
    <t>AOS High Quality 6", wedged</t>
  </si>
  <si>
    <t>AOS High Quality 6", septum</t>
  </si>
  <si>
    <t>bending
stress
(Mpa)</t>
  </si>
  <si>
    <t>reverse
pressure
(psig)</t>
  </si>
  <si>
    <t>FEA slide 18 of file "2008 07 18 SSV v1.6.ppt" in G080409-v1</t>
  </si>
  <si>
    <t>AOS High Quality 6", septum,
wedged</t>
  </si>
  <si>
    <t>PSL High Power, 6"
(non-wedged)</t>
  </si>
  <si>
    <t>Quartz/
Fused Silica</t>
  </si>
  <si>
    <t>CaF2 CHETA</t>
  </si>
  <si>
    <t>?</t>
  </si>
  <si>
    <t>CaF2</t>
  </si>
  <si>
    <t>Revised 16 Jul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</si>
</sst>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E+00"/>
    <numFmt numFmtId="165" formatCode="0.0"/>
    <numFmt numFmtId="166" formatCode="0.000"/>
    <numFmt numFmtId="167" formatCode="0.E+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11" fontId="0" fillId="0" borderId="0" xfId="0" applyNumberFormat="1"/>
    <xf numFmtId="164" fontId="0" fillId="0" borderId="0" xfId="0" applyNumberFormat="1"/>
    <xf numFmtId="11" fontId="4" fillId="0" borderId="0" xfId="0" applyNumberFormat="1" applyFont="1"/>
    <xf numFmtId="0" fontId="4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1" fontId="0" fillId="0" borderId="1" xfId="0" applyNumberFormat="1" applyBorder="1"/>
    <xf numFmtId="0" fontId="5" fillId="0" borderId="1" xfId="1" applyBorder="1" applyAlignment="1">
      <alignment horizontal="center"/>
    </xf>
    <xf numFmtId="166" fontId="0" fillId="0" borderId="0" xfId="0" applyNumberFormat="1"/>
    <xf numFmtId="166" fontId="4" fillId="0" borderId="1" xfId="0" applyNumberFormat="1" applyFont="1" applyBorder="1" applyAlignment="1">
      <alignment wrapText="1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7" fontId="0" fillId="0" borderId="0" xfId="0" applyNumberFormat="1"/>
    <xf numFmtId="167" fontId="4" fillId="0" borderId="1" xfId="0" applyNumberFormat="1" applyFont="1" applyBorder="1" applyAlignment="1">
      <alignment wrapText="1"/>
    </xf>
    <xf numFmtId="167" fontId="0" fillId="0" borderId="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1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1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4"/>
          <c:order val="0"/>
          <c:tx>
            <c:v>inert strength</c:v>
          </c:tx>
          <c:marker>
            <c:symbol val="none"/>
          </c:marker>
          <c:xVal>
            <c:numRef>
              <c:f>'lifetime fused silica'!$G$28:$G$53</c:f>
              <c:numCache>
                <c:formatCode>0.00E+00</c:formatCode>
                <c:ptCount val="26"/>
                <c:pt idx="0">
                  <c:v>9.9999999999999995E-7</c:v>
                </c:pt>
                <c:pt idx="1">
                  <c:v>1.5848931924611134E-6</c:v>
                </c:pt>
                <c:pt idx="2">
                  <c:v>2.5118864315095802E-6</c:v>
                </c:pt>
                <c:pt idx="3">
                  <c:v>3.9810717055349725E-6</c:v>
                </c:pt>
                <c:pt idx="4">
                  <c:v>6.309573444801933E-6</c:v>
                </c:pt>
                <c:pt idx="5">
                  <c:v>1.0000000000000001E-5</c:v>
                </c:pt>
                <c:pt idx="6">
                  <c:v>1.5848931924611138E-5</c:v>
                </c:pt>
                <c:pt idx="7">
                  <c:v>2.5118864315095808E-5</c:v>
                </c:pt>
                <c:pt idx="8">
                  <c:v>3.9810717055349742E-5</c:v>
                </c:pt>
                <c:pt idx="9">
                  <c:v>6.3095734448019361E-5</c:v>
                </c:pt>
                <c:pt idx="10">
                  <c:v>1.0000000000000006E-4</c:v>
                </c:pt>
                <c:pt idx="11">
                  <c:v>1.5848931924611145E-4</c:v>
                </c:pt>
                <c:pt idx="12">
                  <c:v>2.5118864315095817E-4</c:v>
                </c:pt>
                <c:pt idx="13">
                  <c:v>3.9810717055349751E-4</c:v>
                </c:pt>
                <c:pt idx="14">
                  <c:v>6.3095734448019374E-4</c:v>
                </c:pt>
                <c:pt idx="15">
                  <c:v>1.0000000000000009E-3</c:v>
                </c:pt>
                <c:pt idx="16">
                  <c:v>1.5848931924611149E-3</c:v>
                </c:pt>
                <c:pt idx="17">
                  <c:v>2.5118864315095825E-3</c:v>
                </c:pt>
                <c:pt idx="18">
                  <c:v>3.9810717055349769E-3</c:v>
                </c:pt>
                <c:pt idx="19">
                  <c:v>6.3095734448019398E-3</c:v>
                </c:pt>
                <c:pt idx="20">
                  <c:v>1.0000000000000012E-2</c:v>
                </c:pt>
                <c:pt idx="21">
                  <c:v>1.5848931924611155E-2</c:v>
                </c:pt>
                <c:pt idx="22">
                  <c:v>2.5118864315095836E-2</c:v>
                </c:pt>
                <c:pt idx="23">
                  <c:v>3.9810717055349783E-2</c:v>
                </c:pt>
                <c:pt idx="24">
                  <c:v>6.3095734448019428E-2</c:v>
                </c:pt>
                <c:pt idx="25">
                  <c:v>0.10000000000000017</c:v>
                </c:pt>
              </c:numCache>
            </c:numRef>
          </c:xVal>
          <c:yVal>
            <c:numRef>
              <c:f>'lifetime fused silica'!$H$28:$H$53</c:f>
              <c:numCache>
                <c:formatCode>0.00E+00</c:formatCode>
                <c:ptCount val="26"/>
                <c:pt idx="0">
                  <c:v>6.7788409365078603</c:v>
                </c:pt>
                <c:pt idx="1">
                  <c:v>7.5267937872570281</c:v>
                </c:pt>
                <c:pt idx="2">
                  <c:v>8.3572733816173699</c:v>
                </c:pt>
                <c:pt idx="3">
                  <c:v>9.2793857056407081</c:v>
                </c:pt>
                <c:pt idx="4">
                  <c:v>10.303241685585517</c:v>
                </c:pt>
                <c:pt idx="5">
                  <c:v>11.440068235926969</c:v>
                </c:pt>
                <c:pt idx="6">
                  <c:v>12.702331687390483</c:v>
                </c:pt>
                <c:pt idx="7">
                  <c:v>14.103875055202622</c:v>
                </c:pt>
                <c:pt idx="8">
                  <c:v>15.660070846328221</c:v>
                </c:pt>
                <c:pt idx="9">
                  <c:v>17.387991416707752</c:v>
                </c:pt>
                <c:pt idx="10">
                  <c:v>19.306599340728734</c:v>
                </c:pt>
                <c:pt idx="11">
                  <c:v>21.436960924252066</c:v>
                </c:pt>
                <c:pt idx="12">
                  <c:v>23.802487042559722</c:v>
                </c:pt>
                <c:pt idx="13">
                  <c:v>26.429207184997463</c:v>
                </c:pt>
                <c:pt idx="14">
                  <c:v>29.346085425369949</c:v>
                </c:pt>
                <c:pt idx="15">
                  <c:v>32.585391867157597</c:v>
                </c:pt>
                <c:pt idx="16">
                  <c:v>36.183151463060021</c:v>
                </c:pt>
                <c:pt idx="17">
                  <c:v>40.179706725952578</c:v>
                </c:pt>
                <c:pt idx="18">
                  <c:v>44.620456733336781</c:v>
                </c:pt>
                <c:pt idx="19">
                  <c:v>49.556881258876885</c:v>
                </c:pt>
                <c:pt idx="20">
                  <c:v>55.048043544388108</c:v>
                </c:pt>
                <c:pt idx="21">
                  <c:v>61.162923291593586</c:v>
                </c:pt>
                <c:pt idx="22">
                  <c:v>67.984236555535148</c:v>
                </c:pt>
                <c:pt idx="23">
                  <c:v>75.615017176186427</c:v>
                </c:pt>
                <c:pt idx="24">
                  <c:v>84.190573745588694</c:v>
                </c:pt>
                <c:pt idx="25">
                  <c:v>93.90162237114771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D2-450C-9B1C-75BDE70F8C7C}"/>
            </c:ext>
          </c:extLst>
        </c:ser>
        <c:ser>
          <c:idx val="5"/>
          <c:order val="1"/>
          <c:tx>
            <c:v>1 msec</c:v>
          </c:tx>
          <c:marker>
            <c:symbol val="none"/>
          </c:marker>
          <c:xVal>
            <c:numRef>
              <c:f>'lifetime fused silica'!$G$28:$G$53</c:f>
              <c:numCache>
                <c:formatCode>0.00E+00</c:formatCode>
                <c:ptCount val="26"/>
                <c:pt idx="0">
                  <c:v>9.9999999999999995E-7</c:v>
                </c:pt>
                <c:pt idx="1">
                  <c:v>1.5848931924611134E-6</c:v>
                </c:pt>
                <c:pt idx="2">
                  <c:v>2.5118864315095802E-6</c:v>
                </c:pt>
                <c:pt idx="3">
                  <c:v>3.9810717055349725E-6</c:v>
                </c:pt>
                <c:pt idx="4">
                  <c:v>6.309573444801933E-6</c:v>
                </c:pt>
                <c:pt idx="5">
                  <c:v>1.0000000000000001E-5</c:v>
                </c:pt>
                <c:pt idx="6">
                  <c:v>1.5848931924611138E-5</c:v>
                </c:pt>
                <c:pt idx="7">
                  <c:v>2.5118864315095808E-5</c:v>
                </c:pt>
                <c:pt idx="8">
                  <c:v>3.9810717055349742E-5</c:v>
                </c:pt>
                <c:pt idx="9">
                  <c:v>6.3095734448019361E-5</c:v>
                </c:pt>
                <c:pt idx="10">
                  <c:v>1.0000000000000006E-4</c:v>
                </c:pt>
                <c:pt idx="11">
                  <c:v>1.5848931924611145E-4</c:v>
                </c:pt>
                <c:pt idx="12">
                  <c:v>2.5118864315095817E-4</c:v>
                </c:pt>
                <c:pt idx="13">
                  <c:v>3.9810717055349751E-4</c:v>
                </c:pt>
                <c:pt idx="14">
                  <c:v>6.3095734448019374E-4</c:v>
                </c:pt>
                <c:pt idx="15">
                  <c:v>1.0000000000000009E-3</c:v>
                </c:pt>
                <c:pt idx="16">
                  <c:v>1.5848931924611149E-3</c:v>
                </c:pt>
                <c:pt idx="17">
                  <c:v>2.5118864315095825E-3</c:v>
                </c:pt>
                <c:pt idx="18">
                  <c:v>3.9810717055349769E-3</c:v>
                </c:pt>
                <c:pt idx="19">
                  <c:v>6.3095734448019398E-3</c:v>
                </c:pt>
                <c:pt idx="20">
                  <c:v>1.0000000000000012E-2</c:v>
                </c:pt>
                <c:pt idx="21">
                  <c:v>1.5848931924611155E-2</c:v>
                </c:pt>
                <c:pt idx="22">
                  <c:v>2.5118864315095836E-2</c:v>
                </c:pt>
                <c:pt idx="23">
                  <c:v>3.9810717055349783E-2</c:v>
                </c:pt>
                <c:pt idx="24">
                  <c:v>6.3095734448019428E-2</c:v>
                </c:pt>
                <c:pt idx="25">
                  <c:v>0.10000000000000017</c:v>
                </c:pt>
              </c:numCache>
            </c:numRef>
          </c:xVal>
          <c:yVal>
            <c:numRef>
              <c:f>'lifetime fused silica'!$I$28:$I$53</c:f>
              <c:numCache>
                <c:formatCode>0.00E+00</c:formatCode>
                <c:ptCount val="26"/>
                <c:pt idx="0">
                  <c:v>6.0658300841706199</c:v>
                </c:pt>
                <c:pt idx="1">
                  <c:v>6.7003909704064002</c:v>
                </c:pt>
                <c:pt idx="2">
                  <c:v>7.4013350508362237</c:v>
                </c:pt>
                <c:pt idx="3">
                  <c:v>8.1756070631465558</c:v>
                </c:pt>
                <c:pt idx="4">
                  <c:v>9.0308784289877941</c:v>
                </c:pt>
                <c:pt idx="5">
                  <c:v>9.9756234084357214</c:v>
                </c:pt>
                <c:pt idx="6">
                  <c:v>11.01920332269189</c:v>
                </c:pt>
                <c:pt idx="7">
                  <c:v>12.171959763169749</c:v>
                </c:pt>
                <c:pt idx="8">
                  <c:v>13.445317861653727</c:v>
                </c:pt>
                <c:pt idx="9">
                  <c:v>14.851900905028387</c:v>
                </c:pt>
                <c:pt idx="10">
                  <c:v>16.405657889082189</c:v>
                </c:pt>
                <c:pt idx="11">
                  <c:v>18.122006077040897</c:v>
                </c:pt>
                <c:pt idx="12">
                  <c:v>20.017991381603981</c:v>
                </c:pt>
                <c:pt idx="13">
                  <c:v>22.112470623575852</c:v>
                </c:pt>
                <c:pt idx="14">
                  <c:v>24.426321794995623</c:v>
                </c:pt>
                <c:pt idx="15">
                  <c:v>26.982691998848658</c:v>
                </c:pt>
                <c:pt idx="16">
                  <c:v>29.807298868924445</c:v>
                </c:pt>
                <c:pt idx="17">
                  <c:v>32.928811993753229</c:v>
                </c:pt>
                <c:pt idx="18">
                  <c:v>36.379359807322736</c:v>
                </c:pt>
                <c:pt idx="19">
                  <c:v>40.195241278744206</c:v>
                </c:pt>
                <c:pt idx="20">
                  <c:v>44.417983302639861</c:v>
                </c:pt>
                <c:pt idx="21">
                  <c:v>49.09599925947451</c:v>
                </c:pt>
                <c:pt idx="22">
                  <c:v>54.287324747731319</c:v>
                </c:pt>
                <c:pt idx="23">
                  <c:v>60.06435219789428</c:v>
                </c:pt>
                <c:pt idx="24">
                  <c:v>66.522450722283466</c:v>
                </c:pt>
                <c:pt idx="25">
                  <c:v>73.796650593992041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D2-450C-9B1C-75BDE70F8C7C}"/>
            </c:ext>
          </c:extLst>
        </c:ser>
        <c:ser>
          <c:idx val="7"/>
          <c:order val="2"/>
          <c:tx>
            <c:v>1 sec</c:v>
          </c:tx>
          <c:marker>
            <c:symbol val="none"/>
          </c:marker>
          <c:xVal>
            <c:numRef>
              <c:f>'lifetime fused silica'!$G$28:$G$53</c:f>
              <c:numCache>
                <c:formatCode>0.00E+00</c:formatCode>
                <c:ptCount val="26"/>
                <c:pt idx="0">
                  <c:v>9.9999999999999995E-7</c:v>
                </c:pt>
                <c:pt idx="1">
                  <c:v>1.5848931924611134E-6</c:v>
                </c:pt>
                <c:pt idx="2">
                  <c:v>2.5118864315095802E-6</c:v>
                </c:pt>
                <c:pt idx="3">
                  <c:v>3.9810717055349725E-6</c:v>
                </c:pt>
                <c:pt idx="4">
                  <c:v>6.309573444801933E-6</c:v>
                </c:pt>
                <c:pt idx="5">
                  <c:v>1.0000000000000001E-5</c:v>
                </c:pt>
                <c:pt idx="6">
                  <c:v>1.5848931924611138E-5</c:v>
                </c:pt>
                <c:pt idx="7">
                  <c:v>2.5118864315095808E-5</c:v>
                </c:pt>
                <c:pt idx="8">
                  <c:v>3.9810717055349742E-5</c:v>
                </c:pt>
                <c:pt idx="9">
                  <c:v>6.3095734448019361E-5</c:v>
                </c:pt>
                <c:pt idx="10">
                  <c:v>1.0000000000000006E-4</c:v>
                </c:pt>
                <c:pt idx="11">
                  <c:v>1.5848931924611145E-4</c:v>
                </c:pt>
                <c:pt idx="12">
                  <c:v>2.5118864315095817E-4</c:v>
                </c:pt>
                <c:pt idx="13">
                  <c:v>3.9810717055349751E-4</c:v>
                </c:pt>
                <c:pt idx="14">
                  <c:v>6.3095734448019374E-4</c:v>
                </c:pt>
                <c:pt idx="15">
                  <c:v>1.0000000000000009E-3</c:v>
                </c:pt>
                <c:pt idx="16">
                  <c:v>1.5848931924611149E-3</c:v>
                </c:pt>
                <c:pt idx="17">
                  <c:v>2.5118864315095825E-3</c:v>
                </c:pt>
                <c:pt idx="18">
                  <c:v>3.9810717055349769E-3</c:v>
                </c:pt>
                <c:pt idx="19">
                  <c:v>6.3095734448019398E-3</c:v>
                </c:pt>
                <c:pt idx="20">
                  <c:v>1.0000000000000012E-2</c:v>
                </c:pt>
                <c:pt idx="21">
                  <c:v>1.5848931924611155E-2</c:v>
                </c:pt>
                <c:pt idx="22">
                  <c:v>2.5118864315095836E-2</c:v>
                </c:pt>
                <c:pt idx="23">
                  <c:v>3.9810717055349783E-2</c:v>
                </c:pt>
                <c:pt idx="24">
                  <c:v>6.3095734448019428E-2</c:v>
                </c:pt>
                <c:pt idx="25">
                  <c:v>0.10000000000000017</c:v>
                </c:pt>
              </c:numCache>
            </c:numRef>
          </c:xVal>
          <c:yVal>
            <c:numRef>
              <c:f>'lifetime fused silica'!$K$28:$K$53</c:f>
              <c:numCache>
                <c:formatCode>0.00E+00</c:formatCode>
                <c:ptCount val="26"/>
                <c:pt idx="0">
                  <c:v>5.1146529055665972</c:v>
                </c:pt>
                <c:pt idx="1">
                  <c:v>5.6497088889206886</c:v>
                </c:pt>
                <c:pt idx="2">
                  <c:v>6.24073857947627</c:v>
                </c:pt>
                <c:pt idx="3">
                  <c:v>6.8935977170568448</c:v>
                </c:pt>
                <c:pt idx="4">
                  <c:v>7.614754774812762</c:v>
                </c:pt>
                <c:pt idx="5">
                  <c:v>8.4113551719723301</c:v>
                </c:pt>
                <c:pt idx="6">
                  <c:v>9.2912922896588501</c:v>
                </c:pt>
                <c:pt idx="7">
                  <c:v>10.263286063946515</c:v>
                </c:pt>
                <c:pt idx="8">
                  <c:v>11.336970062321877</c:v>
                </c:pt>
                <c:pt idx="9">
                  <c:v>12.522988125783765</c:v>
                </c:pt>
                <c:pt idx="10">
                  <c:v>13.833101921053668</c:v>
                </c:pt>
                <c:pt idx="11">
                  <c:v>15.280311144637997</c:v>
                </c:pt>
                <c:pt idx="12">
                  <c:v>16.87898875550632</c:v>
                </c:pt>
                <c:pt idx="13">
                  <c:v>18.645034653916131</c:v>
                </c:pt>
                <c:pt idx="14">
                  <c:v>20.596052973376533</c:v>
                </c:pt>
                <c:pt idx="15">
                  <c:v>22.751561141164004</c:v>
                </c:pt>
                <c:pt idx="16">
                  <c:v>25.133244032812595</c:v>
                </c:pt>
                <c:pt idx="17">
                  <c:v>27.765275585317365</c:v>
                </c:pt>
                <c:pt idx="18">
                  <c:v>30.674746202788988</c:v>
                </c:pt>
                <c:pt idx="19">
                  <c:v>33.892262846724471</c:v>
                </c:pt>
                <c:pt idx="20">
                  <c:v>37.452840617990717</c:v>
                </c:pt>
                <c:pt idx="21">
                  <c:v>41.397301239851807</c:v>
                </c:pt>
                <c:pt idx="22">
                  <c:v>45.774579802524414</c:v>
                </c:pt>
                <c:pt idx="23">
                  <c:v>50.645716946741665</c:v>
                </c:pt>
                <c:pt idx="24">
                  <c:v>56.091127042945978</c:v>
                </c:pt>
                <c:pt idx="25">
                  <c:v>62.224666392588588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D2-450C-9B1C-75BDE70F8C7C}"/>
            </c:ext>
          </c:extLst>
        </c:ser>
        <c:ser>
          <c:idx val="0"/>
          <c:order val="3"/>
          <c:tx>
            <c:v>1 min</c:v>
          </c:tx>
          <c:marker>
            <c:symbol val="none"/>
          </c:marker>
          <c:xVal>
            <c:numRef>
              <c:f>'lifetime fused silica'!$G$28:$G$53</c:f>
              <c:numCache>
                <c:formatCode>0.00E+00</c:formatCode>
                <c:ptCount val="26"/>
                <c:pt idx="0">
                  <c:v>9.9999999999999995E-7</c:v>
                </c:pt>
                <c:pt idx="1">
                  <c:v>1.5848931924611134E-6</c:v>
                </c:pt>
                <c:pt idx="2">
                  <c:v>2.5118864315095802E-6</c:v>
                </c:pt>
                <c:pt idx="3">
                  <c:v>3.9810717055349725E-6</c:v>
                </c:pt>
                <c:pt idx="4">
                  <c:v>6.309573444801933E-6</c:v>
                </c:pt>
                <c:pt idx="5">
                  <c:v>1.0000000000000001E-5</c:v>
                </c:pt>
                <c:pt idx="6">
                  <c:v>1.5848931924611138E-5</c:v>
                </c:pt>
                <c:pt idx="7">
                  <c:v>2.5118864315095808E-5</c:v>
                </c:pt>
                <c:pt idx="8">
                  <c:v>3.9810717055349742E-5</c:v>
                </c:pt>
                <c:pt idx="9">
                  <c:v>6.3095734448019361E-5</c:v>
                </c:pt>
                <c:pt idx="10">
                  <c:v>1.0000000000000006E-4</c:v>
                </c:pt>
                <c:pt idx="11">
                  <c:v>1.5848931924611145E-4</c:v>
                </c:pt>
                <c:pt idx="12">
                  <c:v>2.5118864315095817E-4</c:v>
                </c:pt>
                <c:pt idx="13">
                  <c:v>3.9810717055349751E-4</c:v>
                </c:pt>
                <c:pt idx="14">
                  <c:v>6.3095734448019374E-4</c:v>
                </c:pt>
                <c:pt idx="15">
                  <c:v>1.0000000000000009E-3</c:v>
                </c:pt>
                <c:pt idx="16">
                  <c:v>1.5848931924611149E-3</c:v>
                </c:pt>
                <c:pt idx="17">
                  <c:v>2.5118864315095825E-3</c:v>
                </c:pt>
                <c:pt idx="18">
                  <c:v>3.9810717055349769E-3</c:v>
                </c:pt>
                <c:pt idx="19">
                  <c:v>6.3095734448019398E-3</c:v>
                </c:pt>
                <c:pt idx="20">
                  <c:v>1.0000000000000012E-2</c:v>
                </c:pt>
                <c:pt idx="21">
                  <c:v>1.5848931924611155E-2</c:v>
                </c:pt>
                <c:pt idx="22">
                  <c:v>2.5118864315095836E-2</c:v>
                </c:pt>
                <c:pt idx="23">
                  <c:v>3.9810717055349783E-2</c:v>
                </c:pt>
                <c:pt idx="24">
                  <c:v>6.3095734448019428E-2</c:v>
                </c:pt>
                <c:pt idx="25">
                  <c:v>0.10000000000000017</c:v>
                </c:pt>
              </c:numCache>
            </c:numRef>
          </c:xVal>
          <c:yVal>
            <c:numRef>
              <c:f>'lifetime fused silica'!$M$28:$M$53</c:f>
              <c:numCache>
                <c:formatCode>0.00E+00</c:formatCode>
                <c:ptCount val="26"/>
                <c:pt idx="0">
                  <c:v>4.6228648554286558</c:v>
                </c:pt>
                <c:pt idx="1">
                  <c:v>5.1064737232840676</c:v>
                </c:pt>
                <c:pt idx="2">
                  <c:v>5.640674271284225</c:v>
                </c:pt>
                <c:pt idx="3">
                  <c:v>6.2307591936416999</c:v>
                </c:pt>
                <c:pt idx="4">
                  <c:v>6.8825750018885836</c:v>
                </c:pt>
                <c:pt idx="5">
                  <c:v>7.6025800633936393</c:v>
                </c:pt>
                <c:pt idx="6">
                  <c:v>8.3979087888117245</c:v>
                </c:pt>
                <c:pt idx="7">
                  <c:v>9.2764426681996</c:v>
                </c:pt>
                <c:pt idx="8">
                  <c:v>10.246888974834308</c:v>
                </c:pt>
                <c:pt idx="9">
                  <c:v>11.31886811490738</c:v>
                </c:pt>
                <c:pt idx="10">
                  <c:v>12.503010838292155</c:v>
                </c:pt>
                <c:pt idx="11">
                  <c:v>13.811066884652362</c:v>
                </c:pt>
                <c:pt idx="12">
                  <c:v>15.256027213123589</c:v>
                </c:pt>
                <c:pt idx="13">
                  <c:v>16.852262904493195</c:v>
                </c:pt>
                <c:pt idx="14">
                  <c:v>18.615685406050371</c:v>
                </c:pt>
                <c:pt idx="15">
                  <c:v>20.563935490354041</c:v>
                </c:pt>
                <c:pt idx="16">
                  <c:v>22.716612972064468</c:v>
                </c:pt>
                <c:pt idx="17">
                  <c:v>25.09556739714597</c:v>
                </c:pt>
                <c:pt idx="18">
                  <c:v>27.725284352283495</c:v>
                </c:pt>
                <c:pt idx="19">
                  <c:v>30.63342785481084</c:v>
                </c:pt>
                <c:pt idx="20">
                  <c:v>33.851646206615847</c:v>
                </c:pt>
                <c:pt idx="21">
                  <c:v>37.416836009149257</c:v>
                </c:pt>
                <c:pt idx="22">
                  <c:v>41.373227108098874</c:v>
                </c:pt>
                <c:pt idx="23">
                  <c:v>45.775990917440971</c:v>
                </c:pt>
                <c:pt idx="24">
                  <c:v>50.697809743062827</c:v>
                </c:pt>
                <c:pt idx="25">
                  <c:v>56.241592287522813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ED2-450C-9B1C-75BDE70F8C7C}"/>
            </c:ext>
          </c:extLst>
        </c:ser>
        <c:ser>
          <c:idx val="6"/>
          <c:order val="4"/>
          <c:tx>
            <c:v>1 yr</c:v>
          </c:tx>
          <c:marker>
            <c:symbol val="none"/>
          </c:marker>
          <c:xVal>
            <c:numRef>
              <c:f>'lifetime fused silica'!$G$28:$G$53</c:f>
              <c:numCache>
                <c:formatCode>0.00E+00</c:formatCode>
                <c:ptCount val="26"/>
                <c:pt idx="0">
                  <c:v>9.9999999999999995E-7</c:v>
                </c:pt>
                <c:pt idx="1">
                  <c:v>1.5848931924611134E-6</c:v>
                </c:pt>
                <c:pt idx="2">
                  <c:v>2.5118864315095802E-6</c:v>
                </c:pt>
                <c:pt idx="3">
                  <c:v>3.9810717055349725E-6</c:v>
                </c:pt>
                <c:pt idx="4">
                  <c:v>6.309573444801933E-6</c:v>
                </c:pt>
                <c:pt idx="5">
                  <c:v>1.0000000000000001E-5</c:v>
                </c:pt>
                <c:pt idx="6">
                  <c:v>1.5848931924611138E-5</c:v>
                </c:pt>
                <c:pt idx="7">
                  <c:v>2.5118864315095808E-5</c:v>
                </c:pt>
                <c:pt idx="8">
                  <c:v>3.9810717055349742E-5</c:v>
                </c:pt>
                <c:pt idx="9">
                  <c:v>6.3095734448019361E-5</c:v>
                </c:pt>
                <c:pt idx="10">
                  <c:v>1.0000000000000006E-4</c:v>
                </c:pt>
                <c:pt idx="11">
                  <c:v>1.5848931924611145E-4</c:v>
                </c:pt>
                <c:pt idx="12">
                  <c:v>2.5118864315095817E-4</c:v>
                </c:pt>
                <c:pt idx="13">
                  <c:v>3.9810717055349751E-4</c:v>
                </c:pt>
                <c:pt idx="14">
                  <c:v>6.3095734448019374E-4</c:v>
                </c:pt>
                <c:pt idx="15">
                  <c:v>1.0000000000000009E-3</c:v>
                </c:pt>
                <c:pt idx="16">
                  <c:v>1.5848931924611149E-3</c:v>
                </c:pt>
                <c:pt idx="17">
                  <c:v>2.5118864315095825E-3</c:v>
                </c:pt>
                <c:pt idx="18">
                  <c:v>3.9810717055349769E-3</c:v>
                </c:pt>
                <c:pt idx="19">
                  <c:v>6.3095734448019398E-3</c:v>
                </c:pt>
                <c:pt idx="20">
                  <c:v>1.0000000000000012E-2</c:v>
                </c:pt>
                <c:pt idx="21">
                  <c:v>1.5848931924611155E-2</c:v>
                </c:pt>
                <c:pt idx="22">
                  <c:v>2.5118864315095836E-2</c:v>
                </c:pt>
                <c:pt idx="23">
                  <c:v>3.9810717055349783E-2</c:v>
                </c:pt>
                <c:pt idx="24">
                  <c:v>6.3095734448019428E-2</c:v>
                </c:pt>
                <c:pt idx="25">
                  <c:v>0.10000000000000017</c:v>
                </c:pt>
              </c:numCache>
            </c:numRef>
          </c:xVal>
          <c:yVal>
            <c:numRef>
              <c:f>'lifetime fused silica'!$O$28:$O$53</c:f>
              <c:numCache>
                <c:formatCode>0.00E+00</c:formatCode>
                <c:ptCount val="26"/>
                <c:pt idx="0">
                  <c:v>3.3393385258234267</c:v>
                </c:pt>
                <c:pt idx="1">
                  <c:v>3.688674657067454</c:v>
                </c:pt>
                <c:pt idx="2">
                  <c:v>4.0745558208566344</c:v>
                </c:pt>
                <c:pt idx="3">
                  <c:v>4.500805208705791</c:v>
                </c:pt>
                <c:pt idx="4">
                  <c:v>4.971646063519775</c:v>
                </c:pt>
                <c:pt idx="5">
                  <c:v>5.4917436038682164</c:v>
                </c:pt>
                <c:pt idx="6">
                  <c:v>6.0662513899575838</c:v>
                </c:pt>
                <c:pt idx="7">
                  <c:v>6.7008626367553275</c:v>
                </c:pt>
                <c:pt idx="8">
                  <c:v>7.4018670658990455</c:v>
                </c:pt>
                <c:pt idx="9">
                  <c:v>8.1762140029766925</c:v>
                </c:pt>
                <c:pt idx="10">
                  <c:v>9.0315825979787228</c:v>
                </c:pt>
                <c:pt idx="11">
                  <c:v>9.9764603060989323</c:v>
                </c:pt>
                <c:pt idx="12">
                  <c:v>11.020231180664775</c:v>
                </c:pt>
                <c:pt idx="13">
                  <c:v>12.173276209490442</c:v>
                </c:pt>
                <c:pt idx="14">
                  <c:v>13.447089068163718</c:v>
                </c:pt>
                <c:pt idx="15">
                  <c:v>14.854412614906412</c:v>
                </c:pt>
                <c:pt idx="16">
                  <c:v>16.409404827128803</c:v>
                </c:pt>
                <c:pt idx="17">
                  <c:v>18.127848781535981</c:v>
                </c:pt>
                <c:pt idx="18">
                  <c:v>20.027431705745766</c:v>
                </c:pt>
                <c:pt idx="19">
                  <c:v>22.128136775072775</c:v>
                </c:pt>
                <c:pt idx="20">
                  <c:v>24.452825223205647</c:v>
                </c:pt>
                <c:pt idx="21">
                  <c:v>27.028149406756473</c:v>
                </c:pt>
                <c:pt idx="22">
                  <c:v>29.886058870502257</c:v>
                </c:pt>
                <c:pt idx="23">
                  <c:v>33.06640682970599</c:v>
                </c:pt>
                <c:pt idx="24">
                  <c:v>36.621695538226554</c:v>
                </c:pt>
                <c:pt idx="25">
                  <c:v>40.626261366657246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ED2-450C-9B1C-75BDE70F8C7C}"/>
            </c:ext>
          </c:extLst>
        </c:ser>
        <c:ser>
          <c:idx val="3"/>
          <c:order val="5"/>
          <c:tx>
            <c:v>20 yrs</c:v>
          </c:tx>
          <c:marker>
            <c:symbol val="none"/>
          </c:marker>
          <c:xVal>
            <c:numRef>
              <c:f>'lifetime fused silica'!$G$28:$G$53</c:f>
              <c:numCache>
                <c:formatCode>0.00E+00</c:formatCode>
                <c:ptCount val="26"/>
                <c:pt idx="0">
                  <c:v>9.9999999999999995E-7</c:v>
                </c:pt>
                <c:pt idx="1">
                  <c:v>1.5848931924611134E-6</c:v>
                </c:pt>
                <c:pt idx="2">
                  <c:v>2.5118864315095802E-6</c:v>
                </c:pt>
                <c:pt idx="3">
                  <c:v>3.9810717055349725E-6</c:v>
                </c:pt>
                <c:pt idx="4">
                  <c:v>6.309573444801933E-6</c:v>
                </c:pt>
                <c:pt idx="5">
                  <c:v>1.0000000000000001E-5</c:v>
                </c:pt>
                <c:pt idx="6">
                  <c:v>1.5848931924611138E-5</c:v>
                </c:pt>
                <c:pt idx="7">
                  <c:v>2.5118864315095808E-5</c:v>
                </c:pt>
                <c:pt idx="8">
                  <c:v>3.9810717055349742E-5</c:v>
                </c:pt>
                <c:pt idx="9">
                  <c:v>6.3095734448019361E-5</c:v>
                </c:pt>
                <c:pt idx="10">
                  <c:v>1.0000000000000006E-4</c:v>
                </c:pt>
                <c:pt idx="11">
                  <c:v>1.5848931924611145E-4</c:v>
                </c:pt>
                <c:pt idx="12">
                  <c:v>2.5118864315095817E-4</c:v>
                </c:pt>
                <c:pt idx="13">
                  <c:v>3.9810717055349751E-4</c:v>
                </c:pt>
                <c:pt idx="14">
                  <c:v>6.3095734448019374E-4</c:v>
                </c:pt>
                <c:pt idx="15">
                  <c:v>1.0000000000000009E-3</c:v>
                </c:pt>
                <c:pt idx="16">
                  <c:v>1.5848931924611149E-3</c:v>
                </c:pt>
                <c:pt idx="17">
                  <c:v>2.5118864315095825E-3</c:v>
                </c:pt>
                <c:pt idx="18">
                  <c:v>3.9810717055349769E-3</c:v>
                </c:pt>
                <c:pt idx="19">
                  <c:v>6.3095734448019398E-3</c:v>
                </c:pt>
                <c:pt idx="20">
                  <c:v>1.0000000000000012E-2</c:v>
                </c:pt>
                <c:pt idx="21">
                  <c:v>1.5848931924611155E-2</c:v>
                </c:pt>
                <c:pt idx="22">
                  <c:v>2.5118864315095836E-2</c:v>
                </c:pt>
                <c:pt idx="23">
                  <c:v>3.9810717055349783E-2</c:v>
                </c:pt>
                <c:pt idx="24">
                  <c:v>6.3095734448019428E-2</c:v>
                </c:pt>
                <c:pt idx="25">
                  <c:v>0.10000000000000017</c:v>
                </c:pt>
              </c:numCache>
            </c:numRef>
          </c:xVal>
          <c:yVal>
            <c:numRef>
              <c:f>'lifetime fused silica'!$Q$28:$Q$53</c:f>
              <c:numCache>
                <c:formatCode>0.00E+00</c:formatCode>
                <c:ptCount val="26"/>
                <c:pt idx="0">
                  <c:v>3.1012462384276498</c:v>
                </c:pt>
                <c:pt idx="1">
                  <c:v>3.4256749702227474</c:v>
                </c:pt>
                <c:pt idx="2">
                  <c:v>3.7840431016436828</c:v>
                </c:pt>
                <c:pt idx="3">
                  <c:v>4.1799012335691739</c:v>
                </c:pt>
                <c:pt idx="4">
                  <c:v>4.6171714949092895</c:v>
                </c:pt>
                <c:pt idx="5">
                  <c:v>5.1001864777114152</c:v>
                </c:pt>
                <c:pt idx="6">
                  <c:v>5.6337322972739017</c:v>
                </c:pt>
                <c:pt idx="7">
                  <c:v>6.2230962466836379</c:v>
                </c:pt>
                <c:pt idx="8">
                  <c:v>6.8741195952274978</c:v>
                </c:pt>
                <c:pt idx="9">
                  <c:v>7.5932561868846324</c:v>
                </c:pt>
                <c:pt idx="10">
                  <c:v>8.3876376541140072</c:v>
                </c:pt>
                <c:pt idx="11">
                  <c:v>9.265146303034042</c:v>
                </c:pt>
                <c:pt idx="12">
                  <c:v>10.234497111134418</c:v>
                </c:pt>
                <c:pt idx="13">
                  <c:v>11.30533090972378</c:v>
                </c:pt>
                <c:pt idx="14">
                  <c:v>12.488321884095619</c:v>
                </c:pt>
                <c:pt idx="15">
                  <c:v>13.795304336409355</c:v>
                </c:pt>
                <c:pt idx="16">
                  <c:v>15.239426791095152</c:v>
                </c:pt>
                <c:pt idx="17">
                  <c:v>16.835347003538992</c:v>
                </c:pt>
                <c:pt idx="18">
                  <c:v>18.599491115533244</c:v>
                </c:pt>
                <c:pt idx="19">
                  <c:v>20.550417517249237</c:v>
                </c:pt>
                <c:pt idx="20">
                  <c:v>22.709357453867547</c:v>
                </c:pt>
                <c:pt idx="21">
                  <c:v>25.101062989322156</c:v>
                </c:pt>
                <c:pt idx="22">
                  <c:v>27.755205690240118</c:v>
                </c:pt>
                <c:pt idx="23">
                  <c:v>30.708797268063023</c:v>
                </c:pt>
                <c:pt idx="24">
                  <c:v>34.01059660603368</c:v>
                </c:pt>
                <c:pt idx="25">
                  <c:v>37.729639948275903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ED2-450C-9B1C-75BDE70F8C7C}"/>
            </c:ext>
          </c:extLst>
        </c:ser>
        <c:ser>
          <c:idx val="1"/>
          <c:order val="6"/>
          <c:tx>
            <c:v>50 yrs</c:v>
          </c:tx>
          <c:marker>
            <c:symbol val="none"/>
          </c:marker>
          <c:xVal>
            <c:numRef>
              <c:f>'lifetime fused silica'!$G$28:$G$53</c:f>
              <c:numCache>
                <c:formatCode>0.00E+00</c:formatCode>
                <c:ptCount val="26"/>
                <c:pt idx="0">
                  <c:v>9.9999999999999995E-7</c:v>
                </c:pt>
                <c:pt idx="1">
                  <c:v>1.5848931924611134E-6</c:v>
                </c:pt>
                <c:pt idx="2">
                  <c:v>2.5118864315095802E-6</c:v>
                </c:pt>
                <c:pt idx="3">
                  <c:v>3.9810717055349725E-6</c:v>
                </c:pt>
                <c:pt idx="4">
                  <c:v>6.309573444801933E-6</c:v>
                </c:pt>
                <c:pt idx="5">
                  <c:v>1.0000000000000001E-5</c:v>
                </c:pt>
                <c:pt idx="6">
                  <c:v>1.5848931924611138E-5</c:v>
                </c:pt>
                <c:pt idx="7">
                  <c:v>2.5118864315095808E-5</c:v>
                </c:pt>
                <c:pt idx="8">
                  <c:v>3.9810717055349742E-5</c:v>
                </c:pt>
                <c:pt idx="9">
                  <c:v>6.3095734448019361E-5</c:v>
                </c:pt>
                <c:pt idx="10">
                  <c:v>1.0000000000000006E-4</c:v>
                </c:pt>
                <c:pt idx="11">
                  <c:v>1.5848931924611145E-4</c:v>
                </c:pt>
                <c:pt idx="12">
                  <c:v>2.5118864315095817E-4</c:v>
                </c:pt>
                <c:pt idx="13">
                  <c:v>3.9810717055349751E-4</c:v>
                </c:pt>
                <c:pt idx="14">
                  <c:v>6.3095734448019374E-4</c:v>
                </c:pt>
                <c:pt idx="15">
                  <c:v>1.0000000000000009E-3</c:v>
                </c:pt>
                <c:pt idx="16">
                  <c:v>1.5848931924611149E-3</c:v>
                </c:pt>
                <c:pt idx="17">
                  <c:v>2.5118864315095825E-3</c:v>
                </c:pt>
                <c:pt idx="18">
                  <c:v>3.9810717055349769E-3</c:v>
                </c:pt>
                <c:pt idx="19">
                  <c:v>6.3095734448019398E-3</c:v>
                </c:pt>
                <c:pt idx="20">
                  <c:v>1.0000000000000012E-2</c:v>
                </c:pt>
                <c:pt idx="21">
                  <c:v>1.5848931924611155E-2</c:v>
                </c:pt>
                <c:pt idx="22">
                  <c:v>2.5118864315095836E-2</c:v>
                </c:pt>
                <c:pt idx="23">
                  <c:v>3.9810717055349783E-2</c:v>
                </c:pt>
                <c:pt idx="24">
                  <c:v>6.3095734448019428E-2</c:v>
                </c:pt>
                <c:pt idx="25">
                  <c:v>0.10000000000000017</c:v>
                </c:pt>
              </c:numCache>
            </c:numRef>
          </c:xVal>
          <c:yVal>
            <c:numRef>
              <c:f>'lifetime fused silica'!$S$28:$S$53</c:f>
              <c:numCache>
                <c:formatCode>0.00E+00</c:formatCode>
                <c:ptCount val="26"/>
                <c:pt idx="0">
                  <c:v>3.0318699688168986</c:v>
                </c:pt>
                <c:pt idx="1">
                  <c:v>3.3490410843390288</c:v>
                </c:pt>
                <c:pt idx="2">
                  <c:v>3.699392359891736</c:v>
                </c:pt>
                <c:pt idx="3">
                  <c:v>4.0863949678192357</c:v>
                </c:pt>
                <c:pt idx="4">
                  <c:v>4.5138832972483671</c:v>
                </c:pt>
                <c:pt idx="5">
                  <c:v>4.9860930181987602</c:v>
                </c:pt>
                <c:pt idx="6">
                  <c:v>5.5077031784224308</c:v>
                </c:pt>
                <c:pt idx="7">
                  <c:v>6.0838827918879721</c:v>
                </c:pt>
                <c:pt idx="8">
                  <c:v>6.7203424560678391</c:v>
                </c:pt>
                <c:pt idx="9">
                  <c:v>7.4233916395561028</c:v>
                </c:pt>
                <c:pt idx="10">
                  <c:v>8.2000024369942803</c:v>
                </c:pt>
                <c:pt idx="11">
                  <c:v>9.0578808237768289</c:v>
                </c:pt>
                <c:pt idx="12">
                  <c:v>10.005546819437326</c:v>
                </c:pt>
                <c:pt idx="13">
                  <c:v>11.052425585563059</c:v>
                </c:pt>
                <c:pt idx="14">
                  <c:v>12.208952521133929</c:v>
                </c:pt>
                <c:pt idx="15">
                  <c:v>13.486697189661037</c:v>
                </c:pt>
                <c:pt idx="16">
                  <c:v>14.898513977184455</c:v>
                </c:pt>
                <c:pt idx="17">
                  <c:v>16.458732738526532</c:v>
                </c:pt>
                <c:pt idx="18">
                  <c:v>18.183412155318774</c:v>
                </c:pt>
                <c:pt idx="19">
                  <c:v>20.090695458218846</c:v>
                </c:pt>
                <c:pt idx="20">
                  <c:v>22.201338939928053</c:v>
                </c:pt>
                <c:pt idx="21">
                  <c:v>24.539540949606078</c:v>
                </c:pt>
                <c:pt idx="22">
                  <c:v>27.134309287623509</c:v>
                </c:pt>
                <c:pt idx="23">
                  <c:v>30.021827696833085</c:v>
                </c:pt>
                <c:pt idx="24">
                  <c:v>33.249764302385643</c:v>
                </c:pt>
                <c:pt idx="25">
                  <c:v>36.885610976653403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ED2-450C-9B1C-75BDE70F8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0959280"/>
        <c:axId val="398448664"/>
      </c:scatterChart>
      <c:valAx>
        <c:axId val="400959280"/>
        <c:scaling>
          <c:logBase val="10"/>
          <c:orientation val="minMax"/>
          <c:max val="1.0000000000000002E-3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Cummulative Failure Probability</a:t>
                </a:r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398448664"/>
        <c:crosses val="autoZero"/>
        <c:crossBetween val="midCat"/>
      </c:valAx>
      <c:valAx>
        <c:axId val="398448664"/>
        <c:scaling>
          <c:orientation val="minMax"/>
          <c:max val="30"/>
          <c:min val="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Allowable Stress (MPa)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400959280"/>
        <c:crossesAt val="1.0000000000000006E-12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860" cy="62882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cc.ligo.org/cgi-bin/private/DocDB/ShowDocument?docid=26356" TargetMode="External"/><Relationship Id="rId3" Type="http://schemas.openxmlformats.org/officeDocument/2006/relationships/hyperlink" Target="http://www.mdcvacuum.com/DisplayProductContent.aspx?d=MDC&amp;p=m.5.1.1.1" TargetMode="External"/><Relationship Id="rId7" Type="http://schemas.openxmlformats.org/officeDocument/2006/relationships/hyperlink" Target="https://dcc.ligo.org/cgi-bin/private/DocDB/ShowDocument?docid=62452" TargetMode="External"/><Relationship Id="rId2" Type="http://schemas.openxmlformats.org/officeDocument/2006/relationships/hyperlink" Target="http://www.mdcvacuum.com/DisplayProductContent.aspx?d=MDC&amp;p=m.5.1.2.1" TargetMode="External"/><Relationship Id="rId1" Type="http://schemas.openxmlformats.org/officeDocument/2006/relationships/hyperlink" Target="http://www.n-c.com/resources/spec/Viewports&amp;Shutters-ISO&amp;CFZeroLengthViewports&amp;ViewportWeldStubs.pdf" TargetMode="External"/><Relationship Id="rId6" Type="http://schemas.openxmlformats.org/officeDocument/2006/relationships/hyperlink" Target="https://dcc.ligo.org/cgi-bin/private/DocDB/ShowDocument?docid=6818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cc.ligo.org/cgi-bin/private/DocDB/ShowDocument?docid=61999" TargetMode="External"/><Relationship Id="rId10" Type="http://schemas.openxmlformats.org/officeDocument/2006/relationships/hyperlink" Target="https://dcc.ligo.org/cgi-bin/private/DocDB/ShowDocument?docid=69853" TargetMode="External"/><Relationship Id="rId4" Type="http://schemas.openxmlformats.org/officeDocument/2006/relationships/hyperlink" Target="https://dcc.ligo.org/cgi-bin/private/DocDB/ShowDocument?docid=61998" TargetMode="External"/><Relationship Id="rId9" Type="http://schemas.openxmlformats.org/officeDocument/2006/relationships/hyperlink" Target="https://dcc.ligo.org/cgi-bin/private/DocDB/ShowDocument?docid=696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A2" zoomScale="85" zoomScaleNormal="85" workbookViewId="0">
      <selection activeCell="AA22" sqref="AA22"/>
    </sheetView>
  </sheetViews>
  <sheetFormatPr defaultRowHeight="14.25" x14ac:dyDescent="0.45"/>
  <cols>
    <col min="1" max="1" width="24.46484375" customWidth="1"/>
    <col min="2" max="2" width="11.6640625" customWidth="1"/>
    <col min="3" max="3" width="15.1328125" customWidth="1"/>
    <col min="4" max="4" width="8" hidden="1" customWidth="1"/>
    <col min="5" max="5" width="7.6640625" customWidth="1"/>
    <col min="6" max="6" width="11.796875" customWidth="1"/>
    <col min="7" max="7" width="7.33203125" style="21" customWidth="1"/>
    <col min="8" max="8" width="9.796875" style="21" customWidth="1"/>
    <col min="9" max="9" width="9.19921875" customWidth="1"/>
    <col min="10" max="10" width="6.46484375" style="7" customWidth="1"/>
    <col min="11" max="11" width="5.19921875" style="9" customWidth="1"/>
    <col min="12" max="12" width="6.46484375" style="9" customWidth="1"/>
    <col min="13" max="13" width="5.19921875" style="9" customWidth="1"/>
    <col min="14" max="14" width="7.46484375" style="26" customWidth="1"/>
    <col min="15" max="16" width="8.46484375" style="9" customWidth="1"/>
    <col min="17" max="17" width="8.19921875" style="9" customWidth="1"/>
    <col min="18" max="18" width="6.6640625" style="9" customWidth="1"/>
    <col min="19" max="19" width="7" style="7" customWidth="1"/>
    <col min="20" max="20" width="5.46484375" customWidth="1"/>
    <col min="21" max="21" width="9.53125" customWidth="1"/>
    <col min="22" max="22" width="8.46484375" style="9" customWidth="1"/>
    <col min="23" max="23" width="8.1328125" style="7" customWidth="1"/>
    <col min="24" max="24" width="1.1328125" customWidth="1"/>
    <col min="25" max="25" width="8.86328125" style="9"/>
  </cols>
  <sheetData>
    <row r="1" spans="1:27" x14ac:dyDescent="0.45">
      <c r="B1" s="5" t="s">
        <v>92</v>
      </c>
    </row>
    <row r="2" spans="1:27" x14ac:dyDescent="0.45">
      <c r="B2" t="s">
        <v>167</v>
      </c>
    </row>
    <row r="3" spans="1:27" ht="42.75" x14ac:dyDescent="0.45">
      <c r="L3" s="39" t="s">
        <v>145</v>
      </c>
      <c r="M3" s="39"/>
      <c r="N3" s="39"/>
      <c r="O3" s="39"/>
      <c r="Y3" s="35">
        <v>2</v>
      </c>
      <c r="Z3" s="12" t="s">
        <v>159</v>
      </c>
    </row>
    <row r="4" spans="1:27" s="5" customFormat="1" ht="43.8" customHeight="1" x14ac:dyDescent="0.45">
      <c r="A4" s="11" t="s">
        <v>115</v>
      </c>
      <c r="B4" s="11" t="s">
        <v>93</v>
      </c>
      <c r="C4" s="11" t="s">
        <v>94</v>
      </c>
      <c r="D4" s="11" t="s">
        <v>95</v>
      </c>
      <c r="E4" s="12" t="s">
        <v>104</v>
      </c>
      <c r="F4" s="12" t="s">
        <v>105</v>
      </c>
      <c r="G4" s="22" t="s">
        <v>106</v>
      </c>
      <c r="H4" s="22" t="s">
        <v>126</v>
      </c>
      <c r="I4" s="12" t="s">
        <v>107</v>
      </c>
      <c r="J4" s="13" t="s">
        <v>113</v>
      </c>
      <c r="K4" s="14" t="s">
        <v>112</v>
      </c>
      <c r="L4" s="14" t="s">
        <v>143</v>
      </c>
      <c r="M4" s="14" t="s">
        <v>65</v>
      </c>
      <c r="N4" s="27" t="s">
        <v>64</v>
      </c>
      <c r="O4" s="14" t="s">
        <v>142</v>
      </c>
      <c r="P4" s="14" t="s">
        <v>144</v>
      </c>
      <c r="Q4" s="14" t="s">
        <v>109</v>
      </c>
      <c r="R4" s="14" t="s">
        <v>134</v>
      </c>
      <c r="S4" s="13" t="s">
        <v>141</v>
      </c>
      <c r="T4" s="12" t="s">
        <v>111</v>
      </c>
      <c r="U4" s="12" t="s">
        <v>110</v>
      </c>
      <c r="V4" s="14" t="s">
        <v>108</v>
      </c>
      <c r="W4" s="13" t="s">
        <v>114</v>
      </c>
      <c r="Y4" s="14" t="s">
        <v>158</v>
      </c>
      <c r="Z4" s="13" t="s">
        <v>141</v>
      </c>
    </row>
    <row r="5" spans="1:27" x14ac:dyDescent="0.45">
      <c r="A5" s="15" t="s">
        <v>152</v>
      </c>
      <c r="B5" s="16" t="s">
        <v>96</v>
      </c>
      <c r="C5" s="20" t="s">
        <v>97</v>
      </c>
      <c r="D5" s="16" t="s">
        <v>98</v>
      </c>
      <c r="E5" s="16">
        <v>9.9700000000000006</v>
      </c>
      <c r="F5" s="16" t="s">
        <v>99</v>
      </c>
      <c r="G5" s="23">
        <v>5.6</v>
      </c>
      <c r="H5" s="23">
        <f>0.25+G5/2</f>
        <v>3.05</v>
      </c>
      <c r="I5" s="16">
        <v>0.375</v>
      </c>
      <c r="J5" s="17">
        <v>62.8</v>
      </c>
      <c r="K5" s="18">
        <v>0.21</v>
      </c>
      <c r="L5" s="18"/>
      <c r="M5" s="18"/>
      <c r="N5" s="28"/>
      <c r="O5" s="18"/>
      <c r="P5" s="18"/>
      <c r="Q5" s="18">
        <f>3*(14.7*6894.75729)*H5^2*(3+K5)/(8*I5^2)/1000000</f>
        <v>8.0706731763803887</v>
      </c>
      <c r="R5" s="18">
        <v>7.9</v>
      </c>
      <c r="S5" s="17">
        <v>2</v>
      </c>
      <c r="T5" s="16"/>
      <c r="U5" s="16"/>
      <c r="V5" s="18">
        <v>2</v>
      </c>
      <c r="W5" s="17">
        <f>(V5-1)*14.7</f>
        <v>14.7</v>
      </c>
      <c r="X5" s="6"/>
      <c r="Y5" s="18">
        <f t="shared" ref="Y5:Y16" si="0">($Y$3/14.7)*Q5</f>
        <v>1.0980507722966517</v>
      </c>
      <c r="Z5" s="17">
        <f>S5*14.7/$Y$3</f>
        <v>14.7</v>
      </c>
      <c r="AA5" s="30" t="s">
        <v>160</v>
      </c>
    </row>
    <row r="6" spans="1:27" ht="28.5" x14ac:dyDescent="0.45">
      <c r="A6" s="15" t="s">
        <v>153</v>
      </c>
      <c r="B6" s="16" t="s">
        <v>100</v>
      </c>
      <c r="C6" s="20" t="s">
        <v>101</v>
      </c>
      <c r="D6" s="16" t="s">
        <v>98</v>
      </c>
      <c r="E6" s="16">
        <v>9.9700000000000006</v>
      </c>
      <c r="F6" s="37" t="s">
        <v>163</v>
      </c>
      <c r="G6" s="23">
        <v>7.78</v>
      </c>
      <c r="H6" s="23">
        <f t="shared" ref="H6:H7" si="1">0.25+G6/2</f>
        <v>4.1400000000000006</v>
      </c>
      <c r="I6" s="16">
        <v>0.375</v>
      </c>
      <c r="J6" s="17">
        <v>73.8</v>
      </c>
      <c r="K6" s="18">
        <v>0.17</v>
      </c>
      <c r="L6" s="18">
        <v>156.6</v>
      </c>
      <c r="M6" s="18">
        <v>4.4000000000000004</v>
      </c>
      <c r="N6" s="28">
        <v>0.01</v>
      </c>
      <c r="O6" s="18">
        <f>EXP(LN(L6)+LN(LN(1/(1-N6)))/M6)</f>
        <v>55.048043544388058</v>
      </c>
      <c r="P6" s="18">
        <f>(U6*O6^(T6-2)/(20*365*24*60*60))^(1/T6)</f>
        <v>22.709357453867526</v>
      </c>
      <c r="Q6" s="18">
        <f>3*(14.7*6894.75729)*H6^2*(3+K6)/(8*I6^2)/1000000</f>
        <v>14.684697146773406</v>
      </c>
      <c r="R6" s="18"/>
      <c r="S6" s="17">
        <f>P6/IF(R6=0,Q6,R6)</f>
        <v>1.546464133845439</v>
      </c>
      <c r="T6" s="16">
        <v>40.5</v>
      </c>
      <c r="U6" s="19">
        <v>5.1000000000000004E-4</v>
      </c>
      <c r="V6" s="18">
        <f>(((20*365*24*60*60)*Q6^2)/U6)^(1/(T6-2))</f>
        <v>2.3697427626669749</v>
      </c>
      <c r="W6" s="17">
        <f t="shared" ref="W6:W13" si="2">(V6-1)*14.7</f>
        <v>20.135218611204529</v>
      </c>
      <c r="X6" s="6"/>
      <c r="Y6" s="18">
        <f t="shared" si="0"/>
        <v>1.9979179791528445</v>
      </c>
      <c r="Z6" s="17">
        <f>P6/Y6</f>
        <v>11.366511383763976</v>
      </c>
      <c r="AA6" s="6"/>
    </row>
    <row r="7" spans="1:27" x14ac:dyDescent="0.45">
      <c r="A7" s="15" t="s">
        <v>154</v>
      </c>
      <c r="B7" s="16" t="s">
        <v>100</v>
      </c>
      <c r="C7" s="20">
        <v>450004</v>
      </c>
      <c r="D7" s="16" t="s">
        <v>102</v>
      </c>
      <c r="E7" s="16">
        <v>4.47</v>
      </c>
      <c r="F7" s="16" t="s">
        <v>99</v>
      </c>
      <c r="G7" s="23">
        <v>2.69</v>
      </c>
      <c r="H7" s="23">
        <f t="shared" si="1"/>
        <v>1.595</v>
      </c>
      <c r="I7" s="16">
        <v>0.17</v>
      </c>
      <c r="J7" s="17">
        <v>62.8</v>
      </c>
      <c r="K7" s="18">
        <v>0.21</v>
      </c>
      <c r="L7" s="18"/>
      <c r="M7" s="18"/>
      <c r="N7" s="28"/>
      <c r="O7" s="18"/>
      <c r="P7" s="18"/>
      <c r="Q7" s="18">
        <f>3*(14.7*6894.75729)*H7^2*(3+K7)/(8*I7^2)/1000000</f>
        <v>10.73979890553092</v>
      </c>
      <c r="R7" s="18"/>
      <c r="S7" s="17">
        <v>2</v>
      </c>
      <c r="T7" s="16"/>
      <c r="U7" s="16"/>
      <c r="V7" s="18">
        <v>2</v>
      </c>
      <c r="W7" s="17">
        <f t="shared" si="2"/>
        <v>14.7</v>
      </c>
      <c r="X7" s="6"/>
      <c r="Y7" s="18">
        <f t="shared" si="0"/>
        <v>1.461197130004207</v>
      </c>
      <c r="Z7" s="17">
        <f>S7*14.7/$Y$3</f>
        <v>14.7</v>
      </c>
      <c r="AA7" s="6"/>
    </row>
    <row r="8" spans="1:27" x14ac:dyDescent="0.45">
      <c r="A8" s="15" t="s">
        <v>155</v>
      </c>
      <c r="B8" s="16" t="s">
        <v>117</v>
      </c>
      <c r="C8" s="20" t="s">
        <v>118</v>
      </c>
      <c r="D8" s="16" t="s">
        <v>124</v>
      </c>
      <c r="E8" s="16">
        <v>9.9700000000000006</v>
      </c>
      <c r="F8" s="16" t="s">
        <v>30</v>
      </c>
      <c r="G8" s="23">
        <v>5.24</v>
      </c>
      <c r="H8" s="23">
        <f>5.338/2</f>
        <v>2.669</v>
      </c>
      <c r="I8" s="16">
        <v>0.75</v>
      </c>
      <c r="J8" s="17">
        <v>73.8</v>
      </c>
      <c r="K8" s="18">
        <v>0.17</v>
      </c>
      <c r="L8" s="18">
        <v>156.6</v>
      </c>
      <c r="M8" s="18">
        <v>4.4000000000000004</v>
      </c>
      <c r="N8" s="28">
        <v>1.0000000000000001E-5</v>
      </c>
      <c r="O8" s="18">
        <f t="shared" ref="O8:O13" si="3">EXP(LN(L8)+LN(LN(1/(1-N8)))/M8)</f>
        <v>11.440068235926965</v>
      </c>
      <c r="P8" s="18">
        <f t="shared" ref="P8:P16" si="4">(U8*O8^(T8-2)/(20*365*24*60*60))^(1/T8)</f>
        <v>5.1001864777114125</v>
      </c>
      <c r="Q8" s="18">
        <f t="shared" ref="Q8:Q13" si="5">3*(14.7*6894.75729)*H8^2*(3+K8)/(8*I8^2)/1000000</f>
        <v>1.525813552993744</v>
      </c>
      <c r="R8" s="18">
        <f>213/145.038</f>
        <v>1.4685806478302237</v>
      </c>
      <c r="S8" s="17">
        <f>P8/IF(R8=0,Q8,R8)</f>
        <v>3.4728678232596617</v>
      </c>
      <c r="T8" s="16">
        <v>40.5</v>
      </c>
      <c r="U8" s="19">
        <v>5.1000000000000004E-4</v>
      </c>
      <c r="V8" s="18">
        <f>(((20*365*24*60*60)*R8^2)/U8)^(1/(T8-2))</f>
        <v>2.1025912748476876</v>
      </c>
      <c r="W8" s="17">
        <f t="shared" si="2"/>
        <v>16.208091740261008</v>
      </c>
      <c r="X8" s="6"/>
      <c r="Y8" s="18">
        <f t="shared" si="0"/>
        <v>0.20759368067942097</v>
      </c>
      <c r="Z8" s="17">
        <f t="shared" ref="Z8:Z16" si="6">P8/Y8</f>
        <v>24.56812009411518</v>
      </c>
      <c r="AA8" s="6"/>
    </row>
    <row r="9" spans="1:27" x14ac:dyDescent="0.45">
      <c r="A9" s="15" t="s">
        <v>156</v>
      </c>
      <c r="B9" s="16" t="s">
        <v>117</v>
      </c>
      <c r="C9" s="20" t="s">
        <v>119</v>
      </c>
      <c r="D9" s="16" t="s">
        <v>124</v>
      </c>
      <c r="E9" s="16">
        <v>9.9700000000000006</v>
      </c>
      <c r="F9" s="16" t="s">
        <v>30</v>
      </c>
      <c r="G9" s="23">
        <v>5.24</v>
      </c>
      <c r="H9" s="23">
        <f t="shared" ref="H9:H11" si="7">5.338/2</f>
        <v>2.669</v>
      </c>
      <c r="I9" s="16">
        <v>0.87</v>
      </c>
      <c r="J9" s="17">
        <v>73.8</v>
      </c>
      <c r="K9" s="18">
        <v>0.17</v>
      </c>
      <c r="L9" s="18">
        <v>156.6</v>
      </c>
      <c r="M9" s="18">
        <v>4.4000000000000004</v>
      </c>
      <c r="N9" s="28">
        <v>1.0000000000000001E-5</v>
      </c>
      <c r="O9" s="18">
        <f t="shared" si="3"/>
        <v>11.440068235926965</v>
      </c>
      <c r="P9" s="18">
        <f t="shared" si="4"/>
        <v>5.1001864777114125</v>
      </c>
      <c r="Q9" s="18">
        <f t="shared" si="5"/>
        <v>1.1339280268978476</v>
      </c>
      <c r="R9" s="18"/>
      <c r="S9" s="17">
        <f t="shared" ref="S9:S15" si="8">P9/IF(R9=0,Q9,R9)</f>
        <v>4.4978044079784212</v>
      </c>
      <c r="T9" s="16">
        <v>40.5</v>
      </c>
      <c r="U9" s="19">
        <v>5.1000000000000004E-4</v>
      </c>
      <c r="V9" s="18">
        <f>(((20*365*24*60*60)*Q9^2)/U9)^(1/(T9-2))</f>
        <v>2.0745334990606716</v>
      </c>
      <c r="W9" s="17">
        <f t="shared" si="2"/>
        <v>15.795642436191873</v>
      </c>
      <c r="X9" s="6"/>
      <c r="Y9" s="18">
        <f t="shared" si="0"/>
        <v>0.15427592202691806</v>
      </c>
      <c r="Z9" s="17">
        <f t="shared" si="6"/>
        <v>33.058862398641388</v>
      </c>
      <c r="AA9" s="6"/>
    </row>
    <row r="10" spans="1:27" x14ac:dyDescent="0.45">
      <c r="A10" s="15" t="s">
        <v>157</v>
      </c>
      <c r="B10" s="16" t="s">
        <v>117</v>
      </c>
      <c r="C10" s="20" t="s">
        <v>120</v>
      </c>
      <c r="D10" s="16" t="s">
        <v>124</v>
      </c>
      <c r="E10" s="16">
        <v>9.9700000000000006</v>
      </c>
      <c r="F10" s="16" t="s">
        <v>30</v>
      </c>
      <c r="G10" s="23">
        <v>5.24</v>
      </c>
      <c r="H10" s="23">
        <f t="shared" si="7"/>
        <v>2.669</v>
      </c>
      <c r="I10" s="16">
        <v>0.75</v>
      </c>
      <c r="J10" s="17">
        <v>73.8</v>
      </c>
      <c r="K10" s="18">
        <v>0.17</v>
      </c>
      <c r="L10" s="18">
        <v>156.6</v>
      </c>
      <c r="M10" s="18">
        <v>4.4000000000000004</v>
      </c>
      <c r="N10" s="28">
        <v>1.0000000000000001E-5</v>
      </c>
      <c r="O10" s="18">
        <f t="shared" si="3"/>
        <v>11.440068235926965</v>
      </c>
      <c r="P10" s="18">
        <f t="shared" si="4"/>
        <v>5.1001864777114125</v>
      </c>
      <c r="Q10" s="18">
        <f t="shared" si="5"/>
        <v>1.525813552993744</v>
      </c>
      <c r="R10" s="18">
        <f>213/145.038</f>
        <v>1.4685806478302237</v>
      </c>
      <c r="S10" s="17">
        <f t="shared" si="8"/>
        <v>3.4728678232596617</v>
      </c>
      <c r="T10" s="16">
        <v>40.5</v>
      </c>
      <c r="U10" s="19">
        <v>5.1000000000000004E-4</v>
      </c>
      <c r="V10" s="18">
        <f>(((20*365*24*60*60)*R10^2)/U10)^(1/(T10-2))</f>
        <v>2.1025912748476876</v>
      </c>
      <c r="W10" s="17">
        <f t="shared" si="2"/>
        <v>16.208091740261008</v>
      </c>
      <c r="X10" s="6"/>
      <c r="Y10" s="18">
        <f t="shared" si="0"/>
        <v>0.20759368067942097</v>
      </c>
      <c r="Z10" s="17">
        <f t="shared" si="6"/>
        <v>24.56812009411518</v>
      </c>
      <c r="AA10" s="6"/>
    </row>
    <row r="11" spans="1:27" ht="28.5" x14ac:dyDescent="0.45">
      <c r="A11" s="36" t="s">
        <v>161</v>
      </c>
      <c r="B11" s="16" t="s">
        <v>117</v>
      </c>
      <c r="C11" s="20" t="s">
        <v>121</v>
      </c>
      <c r="D11" s="16" t="s">
        <v>124</v>
      </c>
      <c r="E11" s="16">
        <v>9.9700000000000006</v>
      </c>
      <c r="F11" s="16" t="s">
        <v>30</v>
      </c>
      <c r="G11" s="23">
        <v>5.24</v>
      </c>
      <c r="H11" s="23">
        <f t="shared" si="7"/>
        <v>2.669</v>
      </c>
      <c r="I11" s="16">
        <v>0.87</v>
      </c>
      <c r="J11" s="17">
        <v>73.8</v>
      </c>
      <c r="K11" s="18">
        <v>0.17</v>
      </c>
      <c r="L11" s="18">
        <v>156.6</v>
      </c>
      <c r="M11" s="18">
        <v>4.4000000000000004</v>
      </c>
      <c r="N11" s="28">
        <v>1.0000000000000001E-5</v>
      </c>
      <c r="O11" s="18">
        <f t="shared" si="3"/>
        <v>11.440068235926965</v>
      </c>
      <c r="P11" s="18">
        <f t="shared" si="4"/>
        <v>5.1001864777114125</v>
      </c>
      <c r="Q11" s="18">
        <f t="shared" si="5"/>
        <v>1.1339280268978476</v>
      </c>
      <c r="R11" s="18"/>
      <c r="S11" s="17">
        <f t="shared" si="8"/>
        <v>4.4978044079784212</v>
      </c>
      <c r="T11" s="16">
        <v>40.5</v>
      </c>
      <c r="U11" s="19">
        <v>5.1000000000000004E-4</v>
      </c>
      <c r="V11" s="18">
        <f>(((20*365*24*60*60)*Q11^2)/U11)^(1/(T11-2))</f>
        <v>2.0745334990606716</v>
      </c>
      <c r="W11" s="17">
        <f t="shared" si="2"/>
        <v>15.795642436191873</v>
      </c>
      <c r="X11" s="6"/>
      <c r="Y11" s="18">
        <f t="shared" si="0"/>
        <v>0.15427592202691806</v>
      </c>
      <c r="Z11" s="17">
        <f t="shared" si="6"/>
        <v>33.058862398641388</v>
      </c>
      <c r="AA11" s="6"/>
    </row>
    <row r="12" spans="1:27" x14ac:dyDescent="0.45">
      <c r="A12" s="40" t="s">
        <v>116</v>
      </c>
      <c r="B12" s="41" t="s">
        <v>117</v>
      </c>
      <c r="C12" s="42" t="s">
        <v>122</v>
      </c>
      <c r="D12" s="41" t="s">
        <v>123</v>
      </c>
      <c r="E12" s="41">
        <v>9.9700000000000006</v>
      </c>
      <c r="F12" s="16" t="s">
        <v>30</v>
      </c>
      <c r="G12" s="23">
        <v>2.25</v>
      </c>
      <c r="H12" s="23">
        <f>2.611/2</f>
        <v>1.3055000000000001</v>
      </c>
      <c r="I12" s="16">
        <v>0.5</v>
      </c>
      <c r="J12" s="17">
        <v>73.8</v>
      </c>
      <c r="K12" s="18">
        <v>0.17</v>
      </c>
      <c r="L12" s="18">
        <v>156.6</v>
      </c>
      <c r="M12" s="18">
        <v>4.4000000000000004</v>
      </c>
      <c r="N12" s="28">
        <v>1.0000000000000001E-5</v>
      </c>
      <c r="O12" s="18">
        <f t="shared" si="3"/>
        <v>11.440068235926965</v>
      </c>
      <c r="P12" s="18">
        <f t="shared" si="4"/>
        <v>5.1001864777114125</v>
      </c>
      <c r="Q12" s="18">
        <f t="shared" si="5"/>
        <v>0.82137331834615257</v>
      </c>
      <c r="R12" s="18"/>
      <c r="S12" s="17">
        <f t="shared" si="8"/>
        <v>6.2093403374493761</v>
      </c>
      <c r="T12" s="16">
        <v>40.5</v>
      </c>
      <c r="U12" s="19">
        <v>5.1000000000000004E-4</v>
      </c>
      <c r="V12" s="18">
        <f>(((20*365*24*60*60)*Q12^2)/U12)^(1/(T12-2))</f>
        <v>2.0400715172661386</v>
      </c>
      <c r="W12" s="17">
        <f t="shared" si="2"/>
        <v>15.289051303812236</v>
      </c>
      <c r="X12" s="6"/>
      <c r="Y12" s="18">
        <f t="shared" si="0"/>
        <v>0.11175147188383029</v>
      </c>
      <c r="Z12" s="17">
        <f t="shared" si="6"/>
        <v>45.638651480252911</v>
      </c>
      <c r="AA12" s="6"/>
    </row>
    <row r="13" spans="1:27" x14ac:dyDescent="0.45">
      <c r="A13" s="40"/>
      <c r="B13" s="41"/>
      <c r="C13" s="43"/>
      <c r="D13" s="41"/>
      <c r="E13" s="41"/>
      <c r="F13" s="16" t="s">
        <v>125</v>
      </c>
      <c r="G13" s="23">
        <v>2.25</v>
      </c>
      <c r="H13" s="23">
        <f>2.611/2</f>
        <v>1.3055000000000001</v>
      </c>
      <c r="I13" s="16">
        <v>0.5</v>
      </c>
      <c r="J13" s="17">
        <v>74.3</v>
      </c>
      <c r="K13" s="18">
        <v>0.31</v>
      </c>
      <c r="L13" s="18">
        <v>60.6</v>
      </c>
      <c r="M13" s="18">
        <v>9.6</v>
      </c>
      <c r="N13" s="28">
        <v>1.0000000000000001E-5</v>
      </c>
      <c r="O13" s="18">
        <f t="shared" si="3"/>
        <v>18.26583444454236</v>
      </c>
      <c r="P13" s="18">
        <f t="shared" si="4"/>
        <v>7.8636134054332096</v>
      </c>
      <c r="Q13" s="18">
        <f t="shared" si="5"/>
        <v>0.8576484806705883</v>
      </c>
      <c r="R13" s="18">
        <v>0.76100000000000001</v>
      </c>
      <c r="S13" s="17">
        <f t="shared" si="8"/>
        <v>10.333263344853101</v>
      </c>
      <c r="T13" s="16">
        <v>39.6</v>
      </c>
      <c r="U13" s="19">
        <f>H30</f>
        <v>6.7426105406086353E-4</v>
      </c>
      <c r="V13" s="18">
        <f>(((20*365*24*60*60)*R13^2)/U13)^(1/(T13-2))</f>
        <v>2.0514860096972281</v>
      </c>
      <c r="W13" s="17">
        <f t="shared" si="2"/>
        <v>15.456844342549251</v>
      </c>
      <c r="X13" s="6"/>
      <c r="Y13" s="18">
        <f t="shared" si="0"/>
        <v>0.1166868681184474</v>
      </c>
      <c r="Z13" s="17">
        <f t="shared" si="6"/>
        <v>67.39073155559332</v>
      </c>
      <c r="AA13" s="6"/>
    </row>
    <row r="14" spans="1:27" ht="28.5" x14ac:dyDescent="0.45">
      <c r="A14" s="36" t="s">
        <v>162</v>
      </c>
      <c r="B14" s="16" t="s">
        <v>117</v>
      </c>
      <c r="C14" s="20" t="s">
        <v>148</v>
      </c>
      <c r="D14" s="16" t="s">
        <v>149</v>
      </c>
      <c r="E14" s="16">
        <v>9.9700000000000006</v>
      </c>
      <c r="F14" s="16" t="s">
        <v>30</v>
      </c>
      <c r="G14" s="23">
        <v>5.24</v>
      </c>
      <c r="H14" s="23">
        <f>5.338/2</f>
        <v>2.669</v>
      </c>
      <c r="I14" s="16">
        <v>0.75</v>
      </c>
      <c r="J14" s="17">
        <v>73.8</v>
      </c>
      <c r="K14" s="18">
        <v>0.17</v>
      </c>
      <c r="L14" s="18">
        <v>156.6</v>
      </c>
      <c r="M14" s="18">
        <v>4.4000000000000004</v>
      </c>
      <c r="N14" s="28">
        <v>1.0000000000000001E-5</v>
      </c>
      <c r="O14" s="18">
        <f t="shared" ref="O14:O16" si="9">EXP(LN(L14)+LN(LN(1/(1-N14)))/M14)</f>
        <v>11.440068235926965</v>
      </c>
      <c r="P14" s="18">
        <f t="shared" si="4"/>
        <v>5.1001864777114125</v>
      </c>
      <c r="Q14" s="18">
        <f t="shared" ref="Q14:Q16" si="10">3*(14.7*6894.75729)*H14^2*(3+K14)/(8*I14^2)/1000000</f>
        <v>1.525813552993744</v>
      </c>
      <c r="R14" s="18">
        <f>213/145.038</f>
        <v>1.4685806478302237</v>
      </c>
      <c r="S14" s="17">
        <f t="shared" si="8"/>
        <v>3.4728678232596617</v>
      </c>
      <c r="T14" s="16">
        <v>40.5</v>
      </c>
      <c r="U14" s="19">
        <v>5.1000000000000004E-4</v>
      </c>
      <c r="V14" s="18">
        <f>(((20*365*24*60*60)*R14^2)/U14)^(1/(T14-2))</f>
        <v>2.1025912748476876</v>
      </c>
      <c r="W14" s="17">
        <f t="shared" ref="W14:W16" si="11">(V14-1)*14.7</f>
        <v>16.208091740261008</v>
      </c>
      <c r="X14" s="6"/>
      <c r="Y14" s="18">
        <f t="shared" si="0"/>
        <v>0.20759368067942097</v>
      </c>
      <c r="Z14" s="17">
        <f t="shared" si="6"/>
        <v>24.56812009411518</v>
      </c>
      <c r="AA14" s="6"/>
    </row>
    <row r="15" spans="1:27" x14ac:dyDescent="0.45">
      <c r="A15" s="15" t="s">
        <v>150</v>
      </c>
      <c r="B15" s="16" t="s">
        <v>117</v>
      </c>
      <c r="C15" s="20" t="s">
        <v>151</v>
      </c>
      <c r="D15" s="16" t="s">
        <v>149</v>
      </c>
      <c r="E15" s="16">
        <v>9.9700000000000006</v>
      </c>
      <c r="F15" s="16" t="s">
        <v>30</v>
      </c>
      <c r="G15" s="23">
        <v>5.24</v>
      </c>
      <c r="H15" s="23">
        <f t="shared" ref="H15" si="12">5.338/2</f>
        <v>2.669</v>
      </c>
      <c r="I15" s="16">
        <v>0.87</v>
      </c>
      <c r="J15" s="17">
        <v>73.8</v>
      </c>
      <c r="K15" s="18">
        <v>0.17</v>
      </c>
      <c r="L15" s="18">
        <v>156.6</v>
      </c>
      <c r="M15" s="18">
        <v>4.4000000000000004</v>
      </c>
      <c r="N15" s="28">
        <v>1.0000000000000001E-5</v>
      </c>
      <c r="O15" s="18">
        <f t="shared" si="9"/>
        <v>11.440068235926965</v>
      </c>
      <c r="P15" s="18">
        <f t="shared" si="4"/>
        <v>5.1001864777114125</v>
      </c>
      <c r="Q15" s="18">
        <f t="shared" si="10"/>
        <v>1.1339280268978476</v>
      </c>
      <c r="R15" s="18"/>
      <c r="S15" s="17">
        <f t="shared" si="8"/>
        <v>4.4978044079784212</v>
      </c>
      <c r="T15" s="16">
        <v>40.5</v>
      </c>
      <c r="U15" s="19">
        <v>5.1000000000000004E-4</v>
      </c>
      <c r="V15" s="18">
        <f>(((20*365*24*60*60)*Q15^2)/U15)^(1/(T15-2))</f>
        <v>2.0745334990606716</v>
      </c>
      <c r="W15" s="17">
        <f t="shared" si="11"/>
        <v>15.795642436191873</v>
      </c>
      <c r="X15" s="6"/>
      <c r="Y15" s="18">
        <f t="shared" si="0"/>
        <v>0.15427592202691806</v>
      </c>
      <c r="Z15" s="17">
        <f t="shared" si="6"/>
        <v>33.058862398641388</v>
      </c>
      <c r="AA15" s="6"/>
    </row>
    <row r="16" spans="1:27" x14ac:dyDescent="0.45">
      <c r="A16" s="15" t="s">
        <v>164</v>
      </c>
      <c r="B16" s="16" t="s">
        <v>165</v>
      </c>
      <c r="C16" s="16" t="s">
        <v>165</v>
      </c>
      <c r="D16" s="16"/>
      <c r="E16" s="16">
        <v>9.9700000000000006</v>
      </c>
      <c r="F16" s="16" t="s">
        <v>166</v>
      </c>
      <c r="G16" s="23">
        <f>60/25.4</f>
        <v>2.3622047244094491</v>
      </c>
      <c r="H16" s="23">
        <f>70/(25.4*2)</f>
        <v>1.3779527559055118</v>
      </c>
      <c r="I16" s="16">
        <v>0.5</v>
      </c>
      <c r="J16" s="17">
        <v>108</v>
      </c>
      <c r="K16" s="18">
        <v>0.3</v>
      </c>
      <c r="L16" s="18">
        <v>70</v>
      </c>
      <c r="M16" s="18">
        <v>6</v>
      </c>
      <c r="N16" s="28">
        <v>1.0000000000000001E-5</v>
      </c>
      <c r="O16" s="18">
        <f t="shared" si="9"/>
        <v>10.274603435549617</v>
      </c>
      <c r="P16" s="18">
        <f t="shared" si="4"/>
        <v>4.857596840355205</v>
      </c>
      <c r="Q16" s="18">
        <f t="shared" si="10"/>
        <v>0.95259911092347815</v>
      </c>
      <c r="R16" s="18"/>
      <c r="S16" s="17">
        <f>P16/IF(R16=0,Q16,R16)</f>
        <v>5.0993086017538953</v>
      </c>
      <c r="T16" s="16">
        <v>33</v>
      </c>
      <c r="U16" s="38">
        <f>I30</f>
        <v>1.2218781538965868</v>
      </c>
      <c r="V16" s="18">
        <f>(((20*365*24*60*60)*Q16^2)/U16)^(1/(T16-2))</f>
        <v>1.9041348915844793</v>
      </c>
      <c r="W16" s="17">
        <f t="shared" si="11"/>
        <v>13.290782906291845</v>
      </c>
      <c r="X16" s="6"/>
      <c r="Y16" s="18">
        <f t="shared" si="0"/>
        <v>0.12960532121407867</v>
      </c>
      <c r="Z16" s="17">
        <f t="shared" si="6"/>
        <v>37.479918222891129</v>
      </c>
      <c r="AA16" s="6"/>
    </row>
    <row r="17" spans="1:27" x14ac:dyDescent="0.45">
      <c r="B17" s="6"/>
      <c r="C17" s="6"/>
      <c r="D17" s="6"/>
      <c r="E17" s="6"/>
      <c r="F17" s="6"/>
      <c r="G17" s="24"/>
      <c r="H17" s="24"/>
      <c r="I17" s="6"/>
      <c r="J17" s="8"/>
      <c r="K17" s="10"/>
      <c r="L17" s="10"/>
      <c r="M17" s="10"/>
      <c r="N17" s="29"/>
      <c r="O17" s="10"/>
      <c r="P17" s="10"/>
      <c r="Q17" s="10"/>
      <c r="R17" s="10"/>
      <c r="S17" s="8"/>
      <c r="T17" s="6"/>
      <c r="U17" s="6"/>
      <c r="V17" s="10"/>
      <c r="W17" s="8"/>
      <c r="X17" s="6"/>
      <c r="Y17" s="10"/>
      <c r="Z17" s="6"/>
      <c r="AA17" s="6"/>
    </row>
    <row r="18" spans="1:27" x14ac:dyDescent="0.45">
      <c r="A18" t="s">
        <v>127</v>
      </c>
      <c r="B18" s="6"/>
      <c r="C18" s="6"/>
      <c r="D18" s="6"/>
      <c r="E18" s="6"/>
      <c r="F18" s="6"/>
      <c r="G18" s="24"/>
      <c r="H18" s="24"/>
      <c r="I18" s="6"/>
      <c r="J18" s="8"/>
      <c r="K18" s="10"/>
      <c r="L18" s="10"/>
      <c r="M18" s="10"/>
      <c r="N18" s="29"/>
      <c r="O18" s="10"/>
      <c r="P18" s="10"/>
      <c r="Q18" s="10"/>
      <c r="R18" s="10"/>
      <c r="S18" s="8"/>
      <c r="T18" s="6"/>
      <c r="U18" s="6"/>
      <c r="V18" s="10"/>
      <c r="W18" s="8"/>
      <c r="X18" s="6"/>
      <c r="Y18" s="10"/>
      <c r="Z18" s="6"/>
      <c r="AA18" s="6"/>
    </row>
    <row r="19" spans="1:27" x14ac:dyDescent="0.45">
      <c r="A19" t="s">
        <v>138</v>
      </c>
      <c r="B19" s="6"/>
      <c r="C19" s="6"/>
      <c r="D19" s="6"/>
      <c r="E19" s="6"/>
      <c r="F19" s="6"/>
      <c r="G19" s="24"/>
      <c r="H19" s="24"/>
      <c r="I19" s="6"/>
      <c r="J19" s="8"/>
      <c r="K19" s="10"/>
      <c r="L19" s="10"/>
      <c r="M19" s="10"/>
      <c r="N19" s="29"/>
      <c r="O19" s="10"/>
      <c r="P19" s="10"/>
      <c r="Q19" s="10"/>
      <c r="R19" s="10"/>
      <c r="S19" s="8"/>
      <c r="T19" s="6"/>
      <c r="U19" s="6"/>
      <c r="V19" s="10"/>
      <c r="W19" s="8"/>
      <c r="X19" s="6"/>
      <c r="Y19" s="10"/>
      <c r="Z19" s="6"/>
      <c r="AA19" s="6"/>
    </row>
    <row r="20" spans="1:27" x14ac:dyDescent="0.45">
      <c r="A20" t="s">
        <v>140</v>
      </c>
      <c r="B20" s="6"/>
      <c r="C20" s="6"/>
      <c r="D20" s="6"/>
      <c r="E20" s="6"/>
      <c r="F20" s="6"/>
      <c r="G20" s="24"/>
      <c r="H20" s="24"/>
      <c r="I20" s="6"/>
      <c r="J20" s="8"/>
      <c r="K20" s="10"/>
      <c r="L20" s="10"/>
      <c r="M20" s="10"/>
      <c r="N20" s="29"/>
      <c r="O20" s="10"/>
      <c r="P20" s="10"/>
      <c r="Q20" s="10"/>
      <c r="R20" s="10"/>
      <c r="S20" s="8"/>
      <c r="T20" s="6"/>
      <c r="U20" s="6"/>
      <c r="V20" s="10"/>
      <c r="W20" s="8"/>
      <c r="X20" s="6"/>
      <c r="Y20" s="10"/>
      <c r="Z20" s="6"/>
      <c r="AA20" s="6"/>
    </row>
    <row r="21" spans="1:27" x14ac:dyDescent="0.45">
      <c r="A21" t="s">
        <v>139</v>
      </c>
      <c r="B21" s="6"/>
      <c r="C21" s="6"/>
      <c r="D21" s="6"/>
      <c r="E21" s="6"/>
      <c r="F21" s="6"/>
      <c r="G21" s="24"/>
      <c r="H21" s="24"/>
      <c r="I21" s="6"/>
      <c r="J21" s="8"/>
      <c r="K21" s="10"/>
      <c r="L21" s="10"/>
      <c r="M21" s="10"/>
      <c r="N21" s="29"/>
      <c r="O21" s="10"/>
      <c r="P21" s="10"/>
      <c r="Q21" s="10"/>
      <c r="R21" s="10"/>
      <c r="S21" s="8"/>
      <c r="T21" s="6"/>
      <c r="U21" s="6"/>
      <c r="V21" s="10"/>
      <c r="W21" s="8"/>
      <c r="X21" s="6"/>
      <c r="Y21" s="10"/>
      <c r="Z21" s="6"/>
      <c r="AA21" s="6"/>
    </row>
    <row r="22" spans="1:27" x14ac:dyDescent="0.45">
      <c r="B22" s="6"/>
      <c r="C22" s="6"/>
      <c r="D22" s="6"/>
      <c r="E22" s="6"/>
      <c r="F22" s="6"/>
      <c r="G22" s="24"/>
      <c r="H22" s="24"/>
      <c r="I22" s="6"/>
      <c r="J22" s="8"/>
      <c r="K22" s="10"/>
      <c r="L22" s="10"/>
      <c r="M22" s="10"/>
      <c r="N22" s="29"/>
      <c r="O22" s="10"/>
      <c r="P22" s="10"/>
      <c r="Q22" s="10"/>
      <c r="R22" s="10"/>
      <c r="S22" s="8"/>
      <c r="T22" s="6"/>
      <c r="U22" s="6"/>
      <c r="V22" s="10"/>
      <c r="W22" s="8"/>
      <c r="X22" s="6"/>
      <c r="Y22" s="10"/>
      <c r="Z22" s="6"/>
      <c r="AA22" s="6"/>
    </row>
    <row r="23" spans="1:27" x14ac:dyDescent="0.45">
      <c r="B23" s="6"/>
      <c r="C23" s="6"/>
      <c r="D23" s="6"/>
      <c r="E23" s="6"/>
      <c r="F23" s="6" t="s">
        <v>136</v>
      </c>
      <c r="G23" s="24"/>
      <c r="H23" s="24" t="s">
        <v>125</v>
      </c>
      <c r="I23" s="6" t="s">
        <v>166</v>
      </c>
      <c r="J23" s="8"/>
      <c r="K23" s="10"/>
      <c r="L23" s="10"/>
      <c r="M23" s="10"/>
      <c r="N23" s="29"/>
      <c r="O23" s="10"/>
      <c r="P23" s="10"/>
      <c r="Q23" s="10"/>
      <c r="R23" s="10"/>
      <c r="S23" s="8"/>
      <c r="T23" s="6"/>
      <c r="U23" s="6"/>
      <c r="V23" s="10"/>
      <c r="W23" s="8"/>
      <c r="X23" s="6"/>
      <c r="Y23" s="10"/>
      <c r="Z23" s="6"/>
      <c r="AA23" s="6"/>
    </row>
    <row r="24" spans="1:27" x14ac:dyDescent="0.45">
      <c r="B24" s="6"/>
      <c r="C24" s="6"/>
      <c r="D24" s="6"/>
      <c r="E24" s="6"/>
      <c r="F24" s="33">
        <v>4.4000000000000004</v>
      </c>
      <c r="G24" s="24" t="s">
        <v>65</v>
      </c>
      <c r="H24" s="31">
        <v>9.6</v>
      </c>
      <c r="I24">
        <v>6</v>
      </c>
      <c r="J24" s="30" t="s">
        <v>46</v>
      </c>
      <c r="K24" s="10"/>
      <c r="L24" s="10"/>
      <c r="M24" s="10"/>
      <c r="N24" s="29"/>
      <c r="O24" s="10"/>
      <c r="P24" s="10"/>
      <c r="Q24" s="10"/>
      <c r="R24" s="10"/>
      <c r="S24" s="8"/>
      <c r="T24" s="6"/>
      <c r="U24" s="6"/>
      <c r="V24" s="10"/>
      <c r="W24" s="8"/>
      <c r="X24" s="6"/>
      <c r="Y24" s="10"/>
      <c r="Z24" s="6"/>
      <c r="AA24" s="6"/>
    </row>
    <row r="25" spans="1:27" x14ac:dyDescent="0.45">
      <c r="B25" s="6"/>
      <c r="C25" s="6"/>
      <c r="D25" s="6"/>
      <c r="E25" s="6"/>
      <c r="F25" s="33">
        <v>156.6</v>
      </c>
      <c r="G25" s="24" t="s">
        <v>135</v>
      </c>
      <c r="H25" s="31">
        <v>60.6</v>
      </c>
      <c r="I25">
        <v>70</v>
      </c>
      <c r="J25" s="30" t="s">
        <v>58</v>
      </c>
      <c r="K25" s="10"/>
      <c r="L25" s="10"/>
      <c r="M25" s="10"/>
      <c r="N25" s="29"/>
      <c r="O25" s="10"/>
      <c r="P25" s="10"/>
      <c r="Q25" s="10"/>
      <c r="R25" s="10"/>
      <c r="S25" s="8"/>
      <c r="T25" s="6"/>
      <c r="U25" s="6"/>
      <c r="V25" s="10"/>
      <c r="W25" s="8"/>
      <c r="X25" s="6"/>
      <c r="Y25" s="10"/>
      <c r="Z25" s="6"/>
      <c r="AA25" s="6"/>
    </row>
    <row r="26" spans="1:27" x14ac:dyDescent="0.45">
      <c r="B26" s="6"/>
      <c r="C26" s="6"/>
      <c r="D26" s="6"/>
      <c r="E26" s="6"/>
      <c r="F26" s="34">
        <v>1.0000000000000001E-5</v>
      </c>
      <c r="G26" s="24" t="s">
        <v>64</v>
      </c>
      <c r="H26" s="32">
        <v>1.0000000000000001E-5</v>
      </c>
      <c r="I26" s="32">
        <v>1.0000000000000001E-5</v>
      </c>
      <c r="J26" s="30" t="s">
        <v>46</v>
      </c>
      <c r="K26" s="10"/>
      <c r="L26" s="10"/>
      <c r="M26" s="10"/>
      <c r="N26" s="29"/>
      <c r="O26" s="10"/>
      <c r="P26" s="10"/>
      <c r="Q26" s="10"/>
      <c r="R26" s="10"/>
      <c r="S26" s="8"/>
      <c r="T26" s="6"/>
      <c r="U26" s="6"/>
      <c r="V26" s="10"/>
      <c r="W26" s="8"/>
      <c r="X26" s="6"/>
      <c r="Y26" s="10"/>
      <c r="Z26" s="6"/>
      <c r="AA26" s="6"/>
    </row>
    <row r="27" spans="1:27" x14ac:dyDescent="0.45">
      <c r="B27" s="25"/>
      <c r="C27" s="6"/>
      <c r="D27" s="6"/>
      <c r="E27" s="6"/>
      <c r="F27" s="34">
        <f>F25*EXP(LN(LN(1/(1-F26)))/F24)</f>
        <v>11.440068235926969</v>
      </c>
      <c r="G27" s="24" t="s">
        <v>56</v>
      </c>
      <c r="H27" s="32">
        <f>H25*EXP(LN(LN(1/(1-H26)))/H24)</f>
        <v>18.265834444542346</v>
      </c>
      <c r="I27" s="32">
        <f>I25*EXP(LN(LN(1/(1-I26)))/I24)</f>
        <v>10.274603435549611</v>
      </c>
      <c r="J27" s="30" t="s">
        <v>58</v>
      </c>
      <c r="K27" s="10"/>
      <c r="L27" s="10"/>
      <c r="M27" s="10"/>
      <c r="N27" s="29"/>
      <c r="O27" s="10"/>
      <c r="P27" s="10"/>
      <c r="Q27" s="10"/>
      <c r="R27" s="10"/>
      <c r="S27" s="8"/>
      <c r="T27" s="6"/>
      <c r="U27" s="6"/>
      <c r="V27" s="10"/>
      <c r="W27" s="8"/>
      <c r="X27" s="6"/>
      <c r="Y27" s="10"/>
      <c r="Z27" s="6"/>
      <c r="AA27" s="6"/>
    </row>
    <row r="28" spans="1:27" x14ac:dyDescent="0.45">
      <c r="B28" s="25"/>
      <c r="C28" s="6"/>
      <c r="D28" s="6"/>
      <c r="E28" s="6"/>
      <c r="F28" s="33">
        <f>T9</f>
        <v>40.5</v>
      </c>
      <c r="G28" s="24" t="s">
        <v>47</v>
      </c>
      <c r="H28" s="31">
        <f>T13</f>
        <v>39.6</v>
      </c>
      <c r="I28">
        <v>33</v>
      </c>
      <c r="J28" s="30" t="s">
        <v>46</v>
      </c>
      <c r="K28" s="10"/>
      <c r="L28" s="10"/>
      <c r="M28" s="10"/>
      <c r="N28" s="29"/>
      <c r="O28" s="10"/>
      <c r="P28" s="10"/>
      <c r="Q28" s="10"/>
      <c r="R28" s="10"/>
      <c r="S28" s="8"/>
      <c r="T28" s="6"/>
      <c r="U28" s="6"/>
      <c r="V28" s="10"/>
      <c r="W28" s="8"/>
      <c r="X28" s="6"/>
      <c r="Y28" s="10"/>
      <c r="Z28" s="6"/>
      <c r="AA28" s="6"/>
    </row>
    <row r="29" spans="1:27" x14ac:dyDescent="0.45">
      <c r="B29" s="6"/>
      <c r="C29" s="6"/>
      <c r="D29" s="6"/>
      <c r="E29" s="6"/>
      <c r="F29" s="34">
        <f>20*365*24*60*60</f>
        <v>630720000</v>
      </c>
      <c r="G29" s="24" t="s">
        <v>42</v>
      </c>
      <c r="H29" s="32">
        <f>F29</f>
        <v>630720000</v>
      </c>
      <c r="I29" s="2">
        <f>F29</f>
        <v>630720000</v>
      </c>
      <c r="J29" s="30" t="s">
        <v>41</v>
      </c>
      <c r="K29" s="10"/>
      <c r="L29" s="10"/>
      <c r="M29" s="10"/>
      <c r="N29" s="29"/>
      <c r="O29" s="10"/>
      <c r="P29" s="10"/>
      <c r="Q29" s="10"/>
      <c r="R29" s="10"/>
      <c r="S29" s="8"/>
      <c r="T29" s="6"/>
      <c r="U29" s="6"/>
      <c r="V29" s="10"/>
      <c r="W29" s="8"/>
      <c r="X29" s="6"/>
      <c r="Y29" s="10"/>
      <c r="Z29" s="6"/>
      <c r="AA29" s="6"/>
    </row>
    <row r="30" spans="1:27" x14ac:dyDescent="0.45">
      <c r="B30" s="6"/>
      <c r="C30" s="6"/>
      <c r="D30" s="6"/>
      <c r="E30" s="6"/>
      <c r="F30" s="34">
        <f>U8</f>
        <v>5.1000000000000004E-4</v>
      </c>
      <c r="G30" s="24" t="s">
        <v>51</v>
      </c>
      <c r="H30" s="32">
        <f>2*H33^(2-H28)/(H32*H34^2*(H28-2))</f>
        <v>6.7426105406086353E-4</v>
      </c>
      <c r="I30" s="32">
        <f>2*I33^(2-I28)/(I32*I34^2*(I28-2))</f>
        <v>1.2218781538965868</v>
      </c>
      <c r="J30" s="30" t="s">
        <v>147</v>
      </c>
      <c r="K30" s="10"/>
      <c r="L30" s="10"/>
      <c r="M30" s="10"/>
      <c r="N30" s="29"/>
      <c r="O30" s="10"/>
      <c r="P30" s="10"/>
      <c r="Q30" s="10"/>
      <c r="R30" s="10"/>
      <c r="S30" s="8"/>
      <c r="T30" s="6"/>
      <c r="U30" s="6"/>
      <c r="V30" s="10"/>
      <c r="W30" s="8"/>
      <c r="X30" s="6"/>
      <c r="Y30" s="10"/>
      <c r="Z30" s="6"/>
      <c r="AA30" s="6"/>
    </row>
    <row r="31" spans="1:27" x14ac:dyDescent="0.45">
      <c r="B31" s="6"/>
      <c r="C31" s="6"/>
      <c r="D31" s="6"/>
      <c r="E31" s="6"/>
      <c r="F31" s="33">
        <f>(F29/(F30*F27^(F28-2)))^(-1/F28)</f>
        <v>5.1001864777114152</v>
      </c>
      <c r="G31" s="24" t="s">
        <v>137</v>
      </c>
      <c r="H31" s="30">
        <f>(H29/(H30*H27^(H28-2)))^(-1/H28)</f>
        <v>7.8636134054332025</v>
      </c>
      <c r="I31" s="30">
        <f>(I29/(I30*I27^(I28-2)))^(-1/I28)</f>
        <v>4.8575968403552032</v>
      </c>
      <c r="J31" s="30" t="s">
        <v>58</v>
      </c>
      <c r="K31" s="10"/>
      <c r="L31" s="10"/>
      <c r="M31" s="10"/>
      <c r="N31" s="29"/>
      <c r="O31" s="10"/>
      <c r="P31" s="10"/>
      <c r="Q31" s="10"/>
      <c r="R31" s="10"/>
      <c r="S31" s="8"/>
      <c r="T31" s="6"/>
      <c r="U31" s="6"/>
      <c r="V31" s="10"/>
      <c r="W31" s="8"/>
      <c r="X31" s="6"/>
      <c r="Y31" s="10"/>
      <c r="Z31" s="6"/>
      <c r="AA31" s="6"/>
    </row>
    <row r="32" spans="1:27" x14ac:dyDescent="0.45">
      <c r="F32" s="34">
        <f>2*F33^(2-F28)/(F30*F34^2*(F28-2))</f>
        <v>7485964.4591970844</v>
      </c>
      <c r="G32" s="24" t="s">
        <v>54</v>
      </c>
      <c r="H32" s="32">
        <v>1090</v>
      </c>
      <c r="I32" s="2">
        <v>1890000000000</v>
      </c>
      <c r="J32" s="30" t="s">
        <v>146</v>
      </c>
    </row>
    <row r="33" spans="2:10" x14ac:dyDescent="0.45">
      <c r="F33" s="33">
        <v>0.72199999999999998</v>
      </c>
      <c r="G33" s="24" t="s">
        <v>44</v>
      </c>
      <c r="H33" s="31">
        <v>0.9</v>
      </c>
      <c r="I33">
        <v>0.35</v>
      </c>
      <c r="J33" s="30" t="s">
        <v>52</v>
      </c>
    </row>
    <row r="34" spans="2:10" x14ac:dyDescent="0.45">
      <c r="B34">
        <v>657</v>
      </c>
      <c r="C34" t="s">
        <v>128</v>
      </c>
      <c r="D34" t="s">
        <v>132</v>
      </c>
      <c r="F34" s="33">
        <v>1.95</v>
      </c>
      <c r="G34" s="24" t="s">
        <v>49</v>
      </c>
      <c r="H34" s="31">
        <v>1.95</v>
      </c>
      <c r="I34" s="31">
        <v>1.95</v>
      </c>
      <c r="J34" s="30" t="s">
        <v>46</v>
      </c>
    </row>
    <row r="35" spans="2:10" x14ac:dyDescent="0.45">
      <c r="B35">
        <v>74</v>
      </c>
      <c r="C35" t="s">
        <v>129</v>
      </c>
      <c r="D35" t="s">
        <v>10</v>
      </c>
    </row>
    <row r="36" spans="2:10" x14ac:dyDescent="0.45">
      <c r="B36" s="2">
        <v>10000000</v>
      </c>
      <c r="C36" t="s">
        <v>11</v>
      </c>
      <c r="D36" t="s">
        <v>29</v>
      </c>
    </row>
    <row r="37" spans="2:10" x14ac:dyDescent="0.45">
      <c r="B37">
        <v>5.2</v>
      </c>
      <c r="C37" t="s">
        <v>130</v>
      </c>
      <c r="D37" t="s">
        <v>133</v>
      </c>
    </row>
    <row r="38" spans="2:10" x14ac:dyDescent="0.45">
      <c r="B38" s="2">
        <f>(B34*B35^3)/(48*B36*B37)</f>
        <v>0.10666352884615385</v>
      </c>
      <c r="C38" t="s">
        <v>131</v>
      </c>
      <c r="D38" t="s">
        <v>10</v>
      </c>
    </row>
    <row r="40" spans="2:10" x14ac:dyDescent="0.45">
      <c r="B40" s="2">
        <f>(5*B34*B35^3)/(384*B37*B36)</f>
        <v>6.6664705528846152E-2</v>
      </c>
      <c r="C40" t="s">
        <v>131</v>
      </c>
      <c r="D40" t="s">
        <v>10</v>
      </c>
    </row>
    <row r="42" spans="2:10" x14ac:dyDescent="0.45">
      <c r="B42">
        <f>1/16</f>
        <v>6.25E-2</v>
      </c>
    </row>
    <row r="44" spans="2:10" x14ac:dyDescent="0.45">
      <c r="B44">
        <f>0.12/25.4</f>
        <v>4.7244094488188976E-3</v>
      </c>
    </row>
  </sheetData>
  <mergeCells count="6">
    <mergeCell ref="L3:O3"/>
    <mergeCell ref="A12:A13"/>
    <mergeCell ref="B12:B13"/>
    <mergeCell ref="C12:C13"/>
    <mergeCell ref="D12:D13"/>
    <mergeCell ref="E12:E13"/>
  </mergeCells>
  <hyperlinks>
    <hyperlink ref="C5" r:id="rId1" xr:uid="{00000000-0004-0000-0000-000000000000}"/>
    <hyperlink ref="C6" r:id="rId2" xr:uid="{00000000-0004-0000-0000-000001000000}"/>
    <hyperlink ref="C7" r:id="rId3" display="http://www.mdcvacuum.com/DisplayProductContent.aspx?d=MDC&amp;p=m.5.1.1.1" xr:uid="{00000000-0004-0000-0000-000002000000}"/>
    <hyperlink ref="C8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2:C13" r:id="rId8" display="D1003194" xr:uid="{00000000-0004-0000-0000-000007000000}"/>
    <hyperlink ref="C14" r:id="rId9" xr:uid="{00000000-0004-0000-0000-000008000000}"/>
    <hyperlink ref="C15" r:id="rId10" xr:uid="{00000000-0004-0000-0000-000009000000}"/>
  </hyperlinks>
  <pageMargins left="0.7" right="0.7" top="0.75" bottom="0.75" header="0.3" footer="0.3"/>
  <pageSetup orientation="portrait" horizontalDpi="1200" verticalDpi="120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zoomScale="130" zoomScaleNormal="130" workbookViewId="0">
      <selection activeCell="A12" sqref="A12"/>
    </sheetView>
  </sheetViews>
  <sheetFormatPr defaultRowHeight="14.25" x14ac:dyDescent="0.45"/>
  <cols>
    <col min="1" max="1" width="11.86328125" bestFit="1" customWidth="1"/>
    <col min="6" max="6" width="47.86328125" customWidth="1"/>
    <col min="7" max="7" width="32.33203125" customWidth="1"/>
  </cols>
  <sheetData>
    <row r="1" spans="1:7" x14ac:dyDescent="0.45">
      <c r="B1" t="s">
        <v>90</v>
      </c>
    </row>
    <row r="2" spans="1:7" x14ac:dyDescent="0.45">
      <c r="B2" t="s">
        <v>91</v>
      </c>
    </row>
    <row r="3" spans="1:7" x14ac:dyDescent="0.45">
      <c r="A3" t="s">
        <v>0</v>
      </c>
      <c r="B3" t="s">
        <v>1</v>
      </c>
      <c r="C3" t="s">
        <v>0</v>
      </c>
      <c r="D3" t="s">
        <v>1</v>
      </c>
      <c r="E3" t="s">
        <v>2</v>
      </c>
      <c r="F3" t="s">
        <v>3</v>
      </c>
    </row>
    <row r="4" spans="1:7" x14ac:dyDescent="0.45">
      <c r="A4">
        <f>5.6/2</f>
        <v>2.8</v>
      </c>
      <c r="B4" t="s">
        <v>10</v>
      </c>
      <c r="E4" t="s">
        <v>4</v>
      </c>
      <c r="F4" t="s">
        <v>81</v>
      </c>
    </row>
    <row r="5" spans="1:7" x14ac:dyDescent="0.45">
      <c r="A5">
        <v>14.7</v>
      </c>
      <c r="B5" t="s">
        <v>29</v>
      </c>
      <c r="E5" t="s">
        <v>82</v>
      </c>
      <c r="F5" t="s">
        <v>83</v>
      </c>
    </row>
    <row r="6" spans="1:7" x14ac:dyDescent="0.45">
      <c r="A6">
        <v>0.375</v>
      </c>
      <c r="B6" t="s">
        <v>10</v>
      </c>
      <c r="E6" t="s">
        <v>15</v>
      </c>
      <c r="F6" t="s">
        <v>16</v>
      </c>
    </row>
    <row r="8" spans="1:7" x14ac:dyDescent="0.45">
      <c r="A8" s="2">
        <v>9110000</v>
      </c>
      <c r="B8" t="s">
        <v>29</v>
      </c>
      <c r="C8" s="2">
        <f>A8/145037.73773</f>
        <v>62.811238940854381</v>
      </c>
      <c r="D8" t="s">
        <v>103</v>
      </c>
      <c r="E8" t="s">
        <v>11</v>
      </c>
      <c r="F8" t="s">
        <v>12</v>
      </c>
      <c r="G8" s="2">
        <f>A8*62.8/C8</f>
        <v>9108369.9294440001</v>
      </c>
    </row>
    <row r="9" spans="1:7" x14ac:dyDescent="0.45">
      <c r="A9">
        <v>0.21</v>
      </c>
      <c r="B9" t="s">
        <v>84</v>
      </c>
      <c r="E9" s="1" t="s">
        <v>13</v>
      </c>
      <c r="F9" t="s">
        <v>14</v>
      </c>
    </row>
    <row r="10" spans="1:7" x14ac:dyDescent="0.45">
      <c r="A10">
        <f>A8*A6^3/(12*(1-A9^2))</f>
        <v>41881.137867454752</v>
      </c>
      <c r="B10" t="s">
        <v>85</v>
      </c>
      <c r="E10" t="s">
        <v>19</v>
      </c>
      <c r="F10" t="s">
        <v>20</v>
      </c>
    </row>
    <row r="11" spans="1:7" x14ac:dyDescent="0.45">
      <c r="A11">
        <f>-A5*A4^4*(5+A9)/(64*A10*(1+A9))</f>
        <v>-1.4514543009393336E-3</v>
      </c>
      <c r="B11" t="s">
        <v>10</v>
      </c>
      <c r="E11" t="s">
        <v>86</v>
      </c>
      <c r="F11" t="s">
        <v>88</v>
      </c>
    </row>
    <row r="12" spans="1:7" x14ac:dyDescent="0.45">
      <c r="A12">
        <f>3*A5*A4^2*(3+A9)/(8*A6^2)</f>
        <v>986.52287999999987</v>
      </c>
      <c r="B12" t="s">
        <v>29</v>
      </c>
      <c r="E12" t="s">
        <v>87</v>
      </c>
      <c r="F12" t="s">
        <v>89</v>
      </c>
    </row>
    <row r="16" spans="1:7" x14ac:dyDescent="0.45">
      <c r="B16" t="s">
        <v>17</v>
      </c>
    </row>
    <row r="17" spans="1:10" x14ac:dyDescent="0.45">
      <c r="B17" t="s">
        <v>18</v>
      </c>
    </row>
    <row r="18" spans="1:10" x14ac:dyDescent="0.45">
      <c r="A18" t="s">
        <v>0</v>
      </c>
      <c r="B18" t="s">
        <v>1</v>
      </c>
      <c r="C18" t="s">
        <v>0</v>
      </c>
      <c r="D18" t="s">
        <v>1</v>
      </c>
      <c r="E18" t="s">
        <v>2</v>
      </c>
      <c r="F18" t="s">
        <v>3</v>
      </c>
      <c r="G18" t="s">
        <v>31</v>
      </c>
    </row>
    <row r="19" spans="1:10" x14ac:dyDescent="0.45">
      <c r="A19">
        <f>2.735+0.12</f>
        <v>2.855</v>
      </c>
      <c r="B19" t="s">
        <v>10</v>
      </c>
      <c r="E19" t="s">
        <v>4</v>
      </c>
      <c r="F19" t="s">
        <v>5</v>
      </c>
    </row>
    <row r="20" spans="1:10" ht="15.75" x14ac:dyDescent="0.55000000000000004">
      <c r="A20">
        <f>2.736+0.099/2</f>
        <v>2.7855000000000003</v>
      </c>
      <c r="B20" t="s">
        <v>10</v>
      </c>
      <c r="E20" t="s">
        <v>28</v>
      </c>
      <c r="F20" t="s">
        <v>6</v>
      </c>
    </row>
    <row r="21" spans="1:10" x14ac:dyDescent="0.45">
      <c r="A21">
        <v>0.75</v>
      </c>
      <c r="B21" t="s">
        <v>10</v>
      </c>
      <c r="E21" t="s">
        <v>15</v>
      </c>
      <c r="F21" t="s">
        <v>16</v>
      </c>
    </row>
    <row r="23" spans="1:10" x14ac:dyDescent="0.45">
      <c r="A23">
        <v>287</v>
      </c>
      <c r="B23" t="s">
        <v>9</v>
      </c>
      <c r="E23" t="s">
        <v>7</v>
      </c>
      <c r="F23" t="s">
        <v>8</v>
      </c>
      <c r="H23">
        <f>2*PI()*A20*A23</f>
        <v>5023.0202371936875</v>
      </c>
    </row>
    <row r="25" spans="1:10" x14ac:dyDescent="0.45">
      <c r="A25" s="2">
        <v>10700000</v>
      </c>
      <c r="B25" t="s">
        <v>29</v>
      </c>
      <c r="C25" s="2">
        <f>A25/145037.73773</f>
        <v>73.773903037007884</v>
      </c>
      <c r="E25" t="s">
        <v>11</v>
      </c>
      <c r="F25" t="s">
        <v>12</v>
      </c>
      <c r="G25" t="s">
        <v>30</v>
      </c>
    </row>
    <row r="26" spans="1:10" x14ac:dyDescent="0.45">
      <c r="A26">
        <v>0.17</v>
      </c>
      <c r="E26" s="1" t="s">
        <v>13</v>
      </c>
      <c r="F26" t="s">
        <v>14</v>
      </c>
      <c r="G26" t="s">
        <v>30</v>
      </c>
    </row>
    <row r="28" spans="1:10" x14ac:dyDescent="0.45">
      <c r="A28">
        <f>A25*A21^3/(12*(1-A26^2))</f>
        <v>387366.77479147358</v>
      </c>
      <c r="E28" t="s">
        <v>19</v>
      </c>
      <c r="F28" t="s">
        <v>20</v>
      </c>
      <c r="J28" s="2"/>
    </row>
    <row r="29" spans="1:10" ht="15.75" x14ac:dyDescent="0.55000000000000004">
      <c r="A29">
        <f>(A20/(4*A19))*(((A20/A19)^2+1)*LN(A19/A20)+(A20/A19)^2-1)</f>
        <v>2.3747984482580515E-6</v>
      </c>
      <c r="E29" t="s">
        <v>27</v>
      </c>
      <c r="F29" t="s">
        <v>32</v>
      </c>
    </row>
    <row r="30" spans="1:10" ht="15.75" x14ac:dyDescent="0.55000000000000004">
      <c r="A30">
        <f>(A20/A19)*((1+A26)*LN(A19/A20)/2+(1-A26)*(1-(A20/A19)^2)/4)</f>
        <v>2.3802603216085998E-2</v>
      </c>
      <c r="E30" t="s">
        <v>26</v>
      </c>
      <c r="F30" t="s">
        <v>32</v>
      </c>
    </row>
    <row r="31" spans="1:10" ht="15.75" x14ac:dyDescent="0.55000000000000004">
      <c r="A31">
        <f>-A23*A19^3/(2*A28)*(A30/(1+A26)-2*A29)</f>
        <v>-1.7534163945076147E-4</v>
      </c>
      <c r="E31" t="s">
        <v>25</v>
      </c>
      <c r="F31" t="s">
        <v>21</v>
      </c>
      <c r="G31" t="s">
        <v>37</v>
      </c>
    </row>
    <row r="32" spans="1:10" ht="15.75" x14ac:dyDescent="0.55000000000000004">
      <c r="A32">
        <f>A23*A19*A30</f>
        <v>19.503496036212624</v>
      </c>
      <c r="E32" t="s">
        <v>24</v>
      </c>
      <c r="F32" t="s">
        <v>22</v>
      </c>
    </row>
    <row r="33" spans="1:7" ht="15.75" x14ac:dyDescent="0.55000000000000004">
      <c r="A33">
        <f>6*A32/A21^2</f>
        <v>208.03729105293465</v>
      </c>
      <c r="E33" s="1" t="s">
        <v>23</v>
      </c>
      <c r="F33" t="s">
        <v>39</v>
      </c>
      <c r="G33" t="s">
        <v>38</v>
      </c>
    </row>
    <row r="34" spans="1:7" x14ac:dyDescent="0.45">
      <c r="A34">
        <f>C34/6894.7572</f>
        <v>8702.2643814056282</v>
      </c>
      <c r="B34" t="s">
        <v>29</v>
      </c>
      <c r="C34" s="2">
        <v>60000000</v>
      </c>
      <c r="D34" t="s">
        <v>34</v>
      </c>
      <c r="F34" t="s">
        <v>33</v>
      </c>
    </row>
    <row r="36" spans="1:7" x14ac:dyDescent="0.45">
      <c r="A36">
        <v>4</v>
      </c>
      <c r="E36" t="s">
        <v>35</v>
      </c>
    </row>
    <row r="37" spans="1:7" x14ac:dyDescent="0.45">
      <c r="A37">
        <f>A34/A36</f>
        <v>2175.5660953514071</v>
      </c>
      <c r="F37" t="s">
        <v>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53"/>
  <sheetViews>
    <sheetView topLeftCell="A16" workbookViewId="0">
      <selection activeCell="E30" sqref="E30"/>
    </sheetView>
  </sheetViews>
  <sheetFormatPr defaultRowHeight="14.25" x14ac:dyDescent="0.45"/>
  <cols>
    <col min="1" max="1" width="11" style="2" bestFit="1" customWidth="1"/>
    <col min="6" max="6" width="26.86328125" customWidth="1"/>
    <col min="9" max="9" width="12" bestFit="1" customWidth="1"/>
    <col min="11" max="11" width="12" bestFit="1" customWidth="1"/>
  </cols>
  <sheetData>
    <row r="2" spans="1:16" x14ac:dyDescent="0.45">
      <c r="A2" s="2">
        <f>C2*365*24*60*60</f>
        <v>3153600000</v>
      </c>
      <c r="B2" t="s">
        <v>41</v>
      </c>
      <c r="C2">
        <v>100</v>
      </c>
      <c r="D2" t="s">
        <v>40</v>
      </c>
      <c r="E2" t="s">
        <v>42</v>
      </c>
      <c r="F2" t="s">
        <v>43</v>
      </c>
    </row>
    <row r="3" spans="1:16" x14ac:dyDescent="0.45">
      <c r="A3" s="2">
        <v>0.72</v>
      </c>
      <c r="B3" t="s">
        <v>52</v>
      </c>
      <c r="E3" t="s">
        <v>44</v>
      </c>
      <c r="F3" t="s">
        <v>45</v>
      </c>
    </row>
    <row r="4" spans="1:16" x14ac:dyDescent="0.45">
      <c r="A4" s="2">
        <v>38</v>
      </c>
      <c r="B4" t="s">
        <v>46</v>
      </c>
      <c r="E4" t="s">
        <v>47</v>
      </c>
      <c r="F4" t="s">
        <v>48</v>
      </c>
    </row>
    <row r="5" spans="1:16" x14ac:dyDescent="0.45">
      <c r="A5" s="2">
        <v>31.1</v>
      </c>
    </row>
    <row r="6" spans="1:16" x14ac:dyDescent="0.45">
      <c r="A6" s="2">
        <f>SQRT(PI())</f>
        <v>1.7724538509055159</v>
      </c>
      <c r="B6" t="s">
        <v>46</v>
      </c>
      <c r="E6" t="s">
        <v>49</v>
      </c>
      <c r="F6" t="s">
        <v>50</v>
      </c>
    </row>
    <row r="7" spans="1:16" x14ac:dyDescent="0.45">
      <c r="A7" s="2">
        <v>35000000</v>
      </c>
      <c r="B7" t="s">
        <v>55</v>
      </c>
      <c r="E7" t="s">
        <v>54</v>
      </c>
      <c r="F7" t="s">
        <v>48</v>
      </c>
    </row>
    <row r="8" spans="1:16" x14ac:dyDescent="0.45">
      <c r="A8" s="2">
        <f>2/(A7*A6^2*(A4-2)*A3^(A4-2))</f>
        <v>6.91098111678963E-5</v>
      </c>
      <c r="B8" t="s">
        <v>53</v>
      </c>
      <c r="E8" t="s">
        <v>51</v>
      </c>
      <c r="F8" t="s">
        <v>61</v>
      </c>
    </row>
    <row r="9" spans="1:16" x14ac:dyDescent="0.45">
      <c r="A9" s="2">
        <v>8.6000000000000007E-6</v>
      </c>
      <c r="B9" t="s">
        <v>53</v>
      </c>
      <c r="E9" t="s">
        <v>51</v>
      </c>
      <c r="F9" t="s">
        <v>60</v>
      </c>
    </row>
    <row r="11" spans="1:16" x14ac:dyDescent="0.45">
      <c r="A11" s="2">
        <v>151</v>
      </c>
      <c r="B11" t="s">
        <v>58</v>
      </c>
      <c r="E11" t="s">
        <v>56</v>
      </c>
      <c r="F11" t="s">
        <v>57</v>
      </c>
    </row>
    <row r="12" spans="1:16" x14ac:dyDescent="0.45">
      <c r="A12" s="2">
        <v>157</v>
      </c>
    </row>
    <row r="13" spans="1:16" x14ac:dyDescent="0.45">
      <c r="A13" s="2">
        <f>((A8*A11^(A4-2))/A2)^(1/A4)</f>
        <v>50.680344453868059</v>
      </c>
      <c r="B13" t="s">
        <v>58</v>
      </c>
      <c r="C13" s="2">
        <f>A13*1000000/6894.7572</f>
        <v>7350.5626063044047</v>
      </c>
      <c r="D13" t="s">
        <v>29</v>
      </c>
      <c r="E13" t="s">
        <v>59</v>
      </c>
      <c r="F13" t="s">
        <v>62</v>
      </c>
    </row>
    <row r="14" spans="1:16" x14ac:dyDescent="0.45">
      <c r="A14" s="2">
        <f>((A9*A12^(A5-2))/A2)^(1/A5)</f>
        <v>38.581447030220424</v>
      </c>
      <c r="C14" s="2">
        <f>A14*1000000/6894.7572</f>
        <v>5595.7658712362527</v>
      </c>
      <c r="F14" t="s">
        <v>63</v>
      </c>
    </row>
    <row r="16" spans="1:16" x14ac:dyDescent="0.45">
      <c r="H16" s="2">
        <f>H19/3</f>
        <v>553.08054627976207</v>
      </c>
      <c r="I16" s="2"/>
      <c r="J16" s="2"/>
      <c r="K16" s="2"/>
      <c r="L16" s="2"/>
      <c r="M16" s="2">
        <f t="shared" ref="M16" si="0">M19/3</f>
        <v>367.55367606919452</v>
      </c>
      <c r="N16" s="2"/>
      <c r="O16" s="2"/>
      <c r="P16" s="2"/>
    </row>
    <row r="18" spans="1:20" x14ac:dyDescent="0.45">
      <c r="A18" s="2">
        <v>1E-4</v>
      </c>
      <c r="E18" t="s">
        <v>64</v>
      </c>
      <c r="H18" t="s">
        <v>72</v>
      </c>
      <c r="M18" t="s">
        <v>73</v>
      </c>
    </row>
    <row r="19" spans="1:20" x14ac:dyDescent="0.45">
      <c r="A19" s="2">
        <v>4.4000000000000004</v>
      </c>
      <c r="E19" t="s">
        <v>65</v>
      </c>
      <c r="H19">
        <f>H33*1000000/6894.7572</f>
        <v>1659.2416388392862</v>
      </c>
      <c r="M19" s="2">
        <f>M33*1000000/6894.7572</f>
        <v>1102.6610282075835</v>
      </c>
      <c r="N19" s="2"/>
      <c r="O19" s="2"/>
      <c r="P19" s="2"/>
    </row>
    <row r="20" spans="1:20" x14ac:dyDescent="0.45">
      <c r="A20" s="2">
        <v>156.6</v>
      </c>
      <c r="E20" t="s">
        <v>66</v>
      </c>
    </row>
    <row r="21" spans="1:20" x14ac:dyDescent="0.45">
      <c r="A21" s="2">
        <f>EXP(LN(LN(1/(1-A18)))/A19)*A20</f>
        <v>19.306599340728734</v>
      </c>
      <c r="C21" s="2">
        <f>A21*1000000/6894.7572</f>
        <v>2800.1855294815505</v>
      </c>
      <c r="E21" t="s">
        <v>56</v>
      </c>
      <c r="G21">
        <v>5</v>
      </c>
      <c r="H21" t="s">
        <v>68</v>
      </c>
    </row>
    <row r="22" spans="1:20" x14ac:dyDescent="0.45">
      <c r="A22" s="2">
        <v>5.1000000000000004E-4</v>
      </c>
      <c r="E22" t="s">
        <v>51</v>
      </c>
      <c r="G22">
        <f>10^(1/G21)</f>
        <v>1.5848931924611136</v>
      </c>
      <c r="H22" t="s">
        <v>69</v>
      </c>
    </row>
    <row r="23" spans="1:20" x14ac:dyDescent="0.45">
      <c r="A23" s="2">
        <v>40.5</v>
      </c>
      <c r="E23" t="s">
        <v>47</v>
      </c>
      <c r="H23" t="s">
        <v>74</v>
      </c>
      <c r="O23">
        <v>1</v>
      </c>
      <c r="P23">
        <v>1</v>
      </c>
      <c r="Q23">
        <v>20</v>
      </c>
      <c r="R23">
        <v>20</v>
      </c>
      <c r="S23">
        <v>50</v>
      </c>
      <c r="T23">
        <v>50</v>
      </c>
    </row>
    <row r="24" spans="1:20" x14ac:dyDescent="0.45">
      <c r="A24" s="2">
        <f>C24*365*24*60*60</f>
        <v>630720000</v>
      </c>
      <c r="B24" t="s">
        <v>41</v>
      </c>
      <c r="C24">
        <v>20</v>
      </c>
      <c r="E24" t="s">
        <v>42</v>
      </c>
      <c r="H24" t="s">
        <v>75</v>
      </c>
      <c r="I24" s="2">
        <v>1E-3</v>
      </c>
      <c r="J24" s="2">
        <v>1E-3</v>
      </c>
      <c r="K24" s="2">
        <v>1</v>
      </c>
      <c r="L24" s="2">
        <v>1</v>
      </c>
      <c r="M24" s="2">
        <v>60</v>
      </c>
      <c r="N24" s="2">
        <v>60</v>
      </c>
      <c r="O24" s="2">
        <f t="shared" ref="O24:P24" si="1">O23*365*24*60*60</f>
        <v>31536000</v>
      </c>
      <c r="P24" s="2">
        <f t="shared" si="1"/>
        <v>31536000</v>
      </c>
      <c r="Q24" s="2">
        <f t="shared" ref="Q24" si="2">Q23*365*24*60*60</f>
        <v>630720000</v>
      </c>
      <c r="R24" s="2">
        <f t="shared" ref="R24" si="3">R23*365*24*60*60</f>
        <v>630720000</v>
      </c>
      <c r="S24" s="2">
        <f t="shared" ref="S24" si="4">S23*365*24*60*60</f>
        <v>1576800000</v>
      </c>
      <c r="T24" s="2">
        <f t="shared" ref="T24" si="5">T23*365*24*60*60</f>
        <v>1576800000</v>
      </c>
    </row>
    <row r="25" spans="1:20" x14ac:dyDescent="0.45">
      <c r="A25" s="3">
        <f>((A22*A21^(A23-2))/A24)^(1/A23)</f>
        <v>8.3876376541140072</v>
      </c>
      <c r="B25" t="s">
        <v>58</v>
      </c>
      <c r="C25" s="2">
        <f>A25*1000000/6894.7572</f>
        <v>1216.5240066922163</v>
      </c>
      <c r="D25" t="s">
        <v>29</v>
      </c>
      <c r="E25" t="s">
        <v>67</v>
      </c>
      <c r="G25" s="2"/>
      <c r="H25" t="s">
        <v>47</v>
      </c>
      <c r="I25">
        <v>40.5</v>
      </c>
      <c r="J25">
        <v>31.1</v>
      </c>
      <c r="K25">
        <v>40.5</v>
      </c>
      <c r="L25">
        <v>31.1</v>
      </c>
      <c r="M25">
        <v>40.5</v>
      </c>
      <c r="N25">
        <v>31.1</v>
      </c>
      <c r="O25">
        <v>40.5</v>
      </c>
      <c r="P25">
        <v>31.1</v>
      </c>
      <c r="Q25">
        <v>40.5</v>
      </c>
      <c r="R25">
        <v>31.1</v>
      </c>
      <c r="S25">
        <v>40.5</v>
      </c>
      <c r="T25">
        <v>31.1</v>
      </c>
    </row>
    <row r="26" spans="1:20" x14ac:dyDescent="0.45">
      <c r="G26" s="2"/>
      <c r="H26" t="s">
        <v>51</v>
      </c>
      <c r="I26" s="2">
        <v>5.1000000000000004E-4</v>
      </c>
      <c r="J26" s="2">
        <v>8.6000000000000007E-6</v>
      </c>
      <c r="K26" s="2">
        <v>5.1000000000000004E-4</v>
      </c>
      <c r="L26" s="2">
        <v>8.6000000000000007E-6</v>
      </c>
      <c r="M26" s="2">
        <v>5.1000000000000004E-4</v>
      </c>
      <c r="N26" s="2">
        <v>8.6000000000000007E-6</v>
      </c>
      <c r="O26" s="2">
        <v>5.1000000000000004E-4</v>
      </c>
      <c r="P26" s="2">
        <v>8.6000000000000007E-6</v>
      </c>
      <c r="Q26" s="2">
        <v>5.1000000000000004E-4</v>
      </c>
      <c r="R26" s="2">
        <v>8.6000000000000007E-6</v>
      </c>
      <c r="S26" s="2">
        <v>5.1000000000000004E-4</v>
      </c>
      <c r="T26" s="2">
        <v>8.6000000000000007E-6</v>
      </c>
    </row>
    <row r="27" spans="1:20" x14ac:dyDescent="0.45">
      <c r="A27" s="2">
        <f>C27*6894.7572/1000000</f>
        <v>5.5158057600000001</v>
      </c>
      <c r="C27">
        <v>800</v>
      </c>
      <c r="G27" t="s">
        <v>64</v>
      </c>
      <c r="H27" t="s">
        <v>70</v>
      </c>
      <c r="I27" t="s">
        <v>71</v>
      </c>
      <c r="J27" t="s">
        <v>71</v>
      </c>
      <c r="K27" t="s">
        <v>71</v>
      </c>
      <c r="L27" t="s">
        <v>71</v>
      </c>
      <c r="M27" t="s">
        <v>71</v>
      </c>
      <c r="N27" t="s">
        <v>71</v>
      </c>
      <c r="O27" t="s">
        <v>71</v>
      </c>
      <c r="P27" t="s">
        <v>71</v>
      </c>
      <c r="Q27" t="s">
        <v>71</v>
      </c>
      <c r="R27" t="s">
        <v>71</v>
      </c>
      <c r="S27" t="s">
        <v>71</v>
      </c>
      <c r="T27" t="s">
        <v>71</v>
      </c>
    </row>
    <row r="28" spans="1:20" x14ac:dyDescent="0.45">
      <c r="E28" s="2"/>
      <c r="G28" s="2">
        <v>9.9999999999999995E-7</v>
      </c>
      <c r="H28" s="2">
        <f>EXP(LN(LN(1/(1-G28)))/$A$19)*$A$20</f>
        <v>6.7788409365078603</v>
      </c>
      <c r="I28" s="2">
        <f t="shared" ref="I28:P43" si="6">((I$26*$H28^(I$25-2))/I$24)^(1/I$25)</f>
        <v>6.0658300841706199</v>
      </c>
      <c r="J28" s="2">
        <f t="shared" si="6"/>
        <v>5.1438712743489639</v>
      </c>
      <c r="K28" s="2">
        <f t="shared" si="6"/>
        <v>5.1146529055665972</v>
      </c>
      <c r="L28" s="2">
        <f t="shared" si="6"/>
        <v>4.1193345962084527</v>
      </c>
      <c r="M28" s="2">
        <f t="shared" si="6"/>
        <v>4.6228648554286558</v>
      </c>
      <c r="N28" s="2">
        <f t="shared" si="6"/>
        <v>3.6112020472202886</v>
      </c>
      <c r="O28" s="2">
        <f t="shared" si="6"/>
        <v>3.3393385258234267</v>
      </c>
      <c r="P28" s="2">
        <f t="shared" si="6"/>
        <v>2.3643288728410541</v>
      </c>
      <c r="Q28" s="2">
        <f>((Q$26*$H28^(Q$25-2))/Q$24)^(1/Q$25)</f>
        <v>3.1012462384276498</v>
      </c>
      <c r="R28" s="2">
        <f t="shared" ref="R28:T53" si="7">((R$26*$H28^(R$25-2))/R$24)^(1/R$25)</f>
        <v>2.1472080361310941</v>
      </c>
      <c r="S28" s="2">
        <f>((S$26*$H28^(S$25-2))/S$24)^(1/S$25)</f>
        <v>3.0318699688168986</v>
      </c>
      <c r="T28" s="2">
        <f t="shared" si="7"/>
        <v>2.0848682960638367</v>
      </c>
    </row>
    <row r="29" spans="1:20" x14ac:dyDescent="0.45">
      <c r="C29">
        <v>220</v>
      </c>
      <c r="G29" s="2">
        <f t="shared" ref="G29:G53" si="8">G28*G$22</f>
        <v>1.5848931924611134E-6</v>
      </c>
      <c r="H29" s="2">
        <f t="shared" ref="H29:H53" si="9">EXP(LN(LN(1/(1-G29)))/$A$19)*$A$20</f>
        <v>7.5267937872570281</v>
      </c>
      <c r="I29" s="2">
        <f t="shared" si="6"/>
        <v>6.7003909704064002</v>
      </c>
      <c r="J29" s="2">
        <f t="shared" si="6"/>
        <v>5.6731144138117005</v>
      </c>
      <c r="K29" s="2">
        <f t="shared" si="6"/>
        <v>5.6497088889206886</v>
      </c>
      <c r="L29" s="2">
        <f t="shared" si="6"/>
        <v>4.54316510399478</v>
      </c>
      <c r="M29" s="2">
        <f t="shared" si="6"/>
        <v>5.1064737232840676</v>
      </c>
      <c r="N29" s="2">
        <f t="shared" si="6"/>
        <v>3.9827517627498668</v>
      </c>
      <c r="O29" s="2">
        <f t="shared" si="6"/>
        <v>3.688674657067454</v>
      </c>
      <c r="P29" s="2">
        <f t="shared" si="6"/>
        <v>2.6075901771479284</v>
      </c>
      <c r="Q29" s="2">
        <f t="shared" ref="Q29:S53" si="10">((Q$26*$H29^(Q$25-2))/Q$24)^(1/Q$25)</f>
        <v>3.4256749702227474</v>
      </c>
      <c r="R29" s="2">
        <f t="shared" si="7"/>
        <v>2.3681301901881984</v>
      </c>
      <c r="S29" s="2">
        <f t="shared" si="10"/>
        <v>3.3490410843390288</v>
      </c>
      <c r="T29" s="2">
        <f t="shared" si="7"/>
        <v>2.2993764327424322</v>
      </c>
    </row>
    <row r="30" spans="1:20" x14ac:dyDescent="0.45">
      <c r="C30">
        <f>C29*3</f>
        <v>660</v>
      </c>
      <c r="G30" s="2">
        <f t="shared" si="8"/>
        <v>2.5118864315095802E-6</v>
      </c>
      <c r="H30" s="2">
        <f t="shared" si="9"/>
        <v>8.3572733816173699</v>
      </c>
      <c r="I30" s="2">
        <f t="shared" si="6"/>
        <v>7.4013350508362237</v>
      </c>
      <c r="J30" s="2">
        <f t="shared" si="6"/>
        <v>6.2568106015145899</v>
      </c>
      <c r="K30" s="2">
        <f t="shared" si="6"/>
        <v>6.24073857947627</v>
      </c>
      <c r="L30" s="2">
        <f t="shared" si="6"/>
        <v>5.0106029093826718</v>
      </c>
      <c r="M30" s="2">
        <f t="shared" si="6"/>
        <v>5.640674271284225</v>
      </c>
      <c r="N30" s="2">
        <f t="shared" si="6"/>
        <v>4.3925296820571766</v>
      </c>
      <c r="O30" s="2">
        <f t="shared" si="6"/>
        <v>4.0745558208566344</v>
      </c>
      <c r="P30" s="2">
        <f t="shared" si="6"/>
        <v>2.875880279280755</v>
      </c>
      <c r="Q30" s="2">
        <f t="shared" si="10"/>
        <v>3.7840431016436828</v>
      </c>
      <c r="R30" s="2">
        <f t="shared" si="7"/>
        <v>2.6117826997571427</v>
      </c>
      <c r="S30" s="2">
        <f t="shared" si="10"/>
        <v>3.699392359891736</v>
      </c>
      <c r="T30" s="2">
        <f t="shared" si="7"/>
        <v>2.5359549961181465</v>
      </c>
    </row>
    <row r="31" spans="1:20" x14ac:dyDescent="0.45">
      <c r="C31">
        <f>C30*6894.7572/1000000</f>
        <v>4.5505397520000006</v>
      </c>
      <c r="G31" s="2">
        <f t="shared" si="8"/>
        <v>3.9810717055349725E-6</v>
      </c>
      <c r="H31" s="2">
        <f t="shared" si="9"/>
        <v>9.2793857056407081</v>
      </c>
      <c r="I31" s="2">
        <f t="shared" si="6"/>
        <v>8.1756070631465558</v>
      </c>
      <c r="J31" s="2">
        <f t="shared" si="6"/>
        <v>6.9005626019129069</v>
      </c>
      <c r="K31" s="2">
        <f t="shared" si="6"/>
        <v>6.8935977170568448</v>
      </c>
      <c r="L31" s="2">
        <f t="shared" si="6"/>
        <v>5.5261348395542358</v>
      </c>
      <c r="M31" s="2">
        <f t="shared" si="6"/>
        <v>6.2307591936416999</v>
      </c>
      <c r="N31" s="2">
        <f t="shared" si="6"/>
        <v>4.8444691684384305</v>
      </c>
      <c r="O31" s="2">
        <f t="shared" si="6"/>
        <v>4.500805208705791</v>
      </c>
      <c r="P31" s="2">
        <f t="shared" si="6"/>
        <v>3.1717744337633755</v>
      </c>
      <c r="Q31" s="2">
        <f t="shared" si="10"/>
        <v>4.1799012335691739</v>
      </c>
      <c r="R31" s="2">
        <f t="shared" si="7"/>
        <v>2.8805043288196197</v>
      </c>
      <c r="S31" s="2">
        <f t="shared" si="10"/>
        <v>4.0863949678192357</v>
      </c>
      <c r="T31" s="2">
        <f t="shared" si="7"/>
        <v>2.7968748490022941</v>
      </c>
    </row>
    <row r="32" spans="1:20" x14ac:dyDescent="0.45">
      <c r="G32" s="2">
        <f t="shared" si="8"/>
        <v>6.309573444801933E-6</v>
      </c>
      <c r="H32" s="2">
        <f t="shared" si="9"/>
        <v>10.303241685585517</v>
      </c>
      <c r="I32" s="2">
        <f t="shared" si="6"/>
        <v>9.0308784289877941</v>
      </c>
      <c r="J32" s="2">
        <f t="shared" si="6"/>
        <v>7.6105497843763867</v>
      </c>
      <c r="K32" s="2">
        <f t="shared" si="6"/>
        <v>7.614754774812762</v>
      </c>
      <c r="L32" s="2">
        <f t="shared" si="6"/>
        <v>6.0947094806365101</v>
      </c>
      <c r="M32" s="2">
        <f t="shared" si="6"/>
        <v>6.8825750018885836</v>
      </c>
      <c r="N32" s="2">
        <f t="shared" si="6"/>
        <v>5.342908384753537</v>
      </c>
      <c r="O32" s="2">
        <f t="shared" si="6"/>
        <v>4.971646063519775</v>
      </c>
      <c r="P32" s="2">
        <f t="shared" si="6"/>
        <v>3.498112925789099</v>
      </c>
      <c r="Q32" s="2">
        <f t="shared" si="10"/>
        <v>4.6171714949092895</v>
      </c>
      <c r="R32" s="2">
        <f t="shared" si="7"/>
        <v>3.1768745337541526</v>
      </c>
      <c r="S32" s="2">
        <f t="shared" si="10"/>
        <v>4.5138832972483671</v>
      </c>
      <c r="T32" s="2">
        <f t="shared" si="7"/>
        <v>3.0846405585975734</v>
      </c>
    </row>
    <row r="33" spans="1:20" x14ac:dyDescent="0.45">
      <c r="G33" s="2">
        <f t="shared" si="8"/>
        <v>1.0000000000000001E-5</v>
      </c>
      <c r="H33" s="4">
        <f t="shared" si="9"/>
        <v>11.440068235926969</v>
      </c>
      <c r="I33" s="2">
        <f t="shared" si="6"/>
        <v>9.9756234084357214</v>
      </c>
      <c r="J33" s="2">
        <f t="shared" si="6"/>
        <v>8.3935875593007516</v>
      </c>
      <c r="K33" s="2">
        <f t="shared" si="6"/>
        <v>8.4113551719723301</v>
      </c>
      <c r="L33" s="2">
        <f t="shared" si="6"/>
        <v>6.7217847755547817</v>
      </c>
      <c r="M33" s="2">
        <f t="shared" si="6"/>
        <v>7.6025800633936393</v>
      </c>
      <c r="N33" s="2">
        <f t="shared" si="6"/>
        <v>5.8926320199383158</v>
      </c>
      <c r="O33" s="2">
        <f t="shared" si="6"/>
        <v>5.4917436038682164</v>
      </c>
      <c r="P33" s="2">
        <f t="shared" si="6"/>
        <v>3.8580283904336148</v>
      </c>
      <c r="Q33" s="2">
        <f t="shared" si="10"/>
        <v>5.1001864777114152</v>
      </c>
      <c r="R33" s="2">
        <f t="shared" si="7"/>
        <v>3.5037382737735023</v>
      </c>
      <c r="S33" s="2">
        <f t="shared" si="10"/>
        <v>4.9860930181987602</v>
      </c>
      <c r="T33" s="2">
        <f t="shared" si="7"/>
        <v>3.4020144866157844</v>
      </c>
    </row>
    <row r="34" spans="1:20" x14ac:dyDescent="0.45">
      <c r="A34" s="2">
        <f>C34*6894.7572/1000000</f>
        <v>12.962143536000001</v>
      </c>
      <c r="B34" t="s">
        <v>58</v>
      </c>
      <c r="C34" s="2">
        <v>1880</v>
      </c>
      <c r="D34" t="s">
        <v>29</v>
      </c>
      <c r="E34" t="s">
        <v>79</v>
      </c>
      <c r="G34" s="2">
        <f t="shared" si="8"/>
        <v>1.5848931924611138E-5</v>
      </c>
      <c r="H34" s="2">
        <f t="shared" si="9"/>
        <v>12.702331687390483</v>
      </c>
      <c r="I34" s="2">
        <f t="shared" si="6"/>
        <v>11.01920332269189</v>
      </c>
      <c r="J34" s="2">
        <f t="shared" si="6"/>
        <v>9.2571930125870328</v>
      </c>
      <c r="K34" s="2">
        <f t="shared" si="6"/>
        <v>9.2912922896588501</v>
      </c>
      <c r="L34" s="2">
        <f t="shared" si="6"/>
        <v>7.4133805856864674</v>
      </c>
      <c r="M34" s="2">
        <f t="shared" si="6"/>
        <v>8.3979087888117245</v>
      </c>
      <c r="N34" s="2">
        <f t="shared" si="6"/>
        <v>6.4989173670172518</v>
      </c>
      <c r="O34" s="2">
        <f t="shared" si="6"/>
        <v>6.0662513899575838</v>
      </c>
      <c r="P34" s="2">
        <f t="shared" si="6"/>
        <v>4.2549759808855496</v>
      </c>
      <c r="Q34" s="2">
        <f t="shared" si="10"/>
        <v>5.6337322972739017</v>
      </c>
      <c r="R34" s="2">
        <f t="shared" si="7"/>
        <v>3.8642334087489858</v>
      </c>
      <c r="S34" s="2">
        <f t="shared" si="10"/>
        <v>5.5077031784224308</v>
      </c>
      <c r="T34" s="2">
        <f t="shared" si="7"/>
        <v>3.7520433916630429</v>
      </c>
    </row>
    <row r="35" spans="1:20" x14ac:dyDescent="0.45">
      <c r="A35" s="2">
        <v>2.36</v>
      </c>
      <c r="B35" t="s">
        <v>80</v>
      </c>
      <c r="E35" t="s">
        <v>78</v>
      </c>
      <c r="G35" s="2">
        <f t="shared" si="8"/>
        <v>2.5118864315095808E-5</v>
      </c>
      <c r="H35" s="2">
        <f t="shared" si="9"/>
        <v>14.103875055202622</v>
      </c>
      <c r="I35" s="2">
        <f t="shared" si="6"/>
        <v>12.171959763169749</v>
      </c>
      <c r="J35" s="2">
        <f t="shared" si="6"/>
        <v>10.209657436630268</v>
      </c>
      <c r="K35" s="2">
        <f t="shared" si="6"/>
        <v>10.263286063946515</v>
      </c>
      <c r="L35" s="2">
        <f t="shared" si="6"/>
        <v>8.1761367754038385</v>
      </c>
      <c r="M35" s="2">
        <f t="shared" si="6"/>
        <v>9.2764426681996</v>
      </c>
      <c r="N35" s="2">
        <f t="shared" si="6"/>
        <v>7.1675852427398512</v>
      </c>
      <c r="O35" s="2">
        <f t="shared" si="6"/>
        <v>6.7008626367553275</v>
      </c>
      <c r="P35" s="2">
        <f t="shared" si="6"/>
        <v>4.6927667065884124</v>
      </c>
      <c r="Q35" s="2">
        <f t="shared" si="10"/>
        <v>6.2230962466836379</v>
      </c>
      <c r="R35" s="2">
        <f t="shared" si="7"/>
        <v>4.2618209758471632</v>
      </c>
      <c r="S35" s="2">
        <f t="shared" si="10"/>
        <v>6.0838827918879721</v>
      </c>
      <c r="T35" s="2">
        <f t="shared" si="7"/>
        <v>4.1380878268569941</v>
      </c>
    </row>
    <row r="36" spans="1:20" x14ac:dyDescent="0.45">
      <c r="A36" s="2">
        <f>A35*A34</f>
        <v>30.590658744960002</v>
      </c>
      <c r="B36" t="s">
        <v>58</v>
      </c>
      <c r="C36" s="2">
        <f>A36*1000000/6894.7572</f>
        <v>4436.8</v>
      </c>
      <c r="D36" t="s">
        <v>29</v>
      </c>
      <c r="E36" t="s">
        <v>76</v>
      </c>
      <c r="G36" s="2">
        <f t="shared" si="8"/>
        <v>3.9810717055349742E-5</v>
      </c>
      <c r="H36" s="2">
        <f t="shared" si="9"/>
        <v>15.660070846328221</v>
      </c>
      <c r="I36" s="2">
        <f t="shared" si="6"/>
        <v>13.445317861653727</v>
      </c>
      <c r="J36" s="2">
        <f t="shared" si="6"/>
        <v>11.260126576989503</v>
      </c>
      <c r="K36" s="2">
        <f t="shared" si="6"/>
        <v>11.336970062321877</v>
      </c>
      <c r="L36" s="2">
        <f t="shared" si="6"/>
        <v>9.0173774755181366</v>
      </c>
      <c r="M36" s="2">
        <f t="shared" si="6"/>
        <v>10.246888974834308</v>
      </c>
      <c r="N36" s="2">
        <f t="shared" si="6"/>
        <v>7.9050563239319285</v>
      </c>
      <c r="O36" s="2">
        <f t="shared" si="6"/>
        <v>7.4018670658990455</v>
      </c>
      <c r="P36" s="2">
        <f t="shared" si="6"/>
        <v>5.1756043178181379</v>
      </c>
      <c r="Q36" s="2">
        <f t="shared" si="10"/>
        <v>6.8741195952274978</v>
      </c>
      <c r="R36" s="2">
        <f t="shared" si="7"/>
        <v>4.7003186869261686</v>
      </c>
      <c r="S36" s="2">
        <f t="shared" si="10"/>
        <v>6.7203424560678391</v>
      </c>
      <c r="T36" s="2">
        <f t="shared" si="7"/>
        <v>4.5638546646956009</v>
      </c>
    </row>
    <row r="37" spans="1:20" x14ac:dyDescent="0.45">
      <c r="A37" s="2">
        <f>A22*A36^(A23-2)*A34^(-A23)</f>
        <v>690762317.45526469</v>
      </c>
      <c r="B37" t="s">
        <v>41</v>
      </c>
      <c r="C37">
        <f>A37/(365*24*60*60)</f>
        <v>21.903929396729602</v>
      </c>
      <c r="D37" t="s">
        <v>40</v>
      </c>
      <c r="E37" t="s">
        <v>77</v>
      </c>
      <c r="G37" s="2">
        <f t="shared" si="8"/>
        <v>6.3095734448019361E-5</v>
      </c>
      <c r="H37" s="2">
        <f t="shared" si="9"/>
        <v>17.387991416707752</v>
      </c>
      <c r="I37" s="2">
        <f t="shared" si="6"/>
        <v>14.851900905028387</v>
      </c>
      <c r="J37" s="2">
        <f t="shared" si="6"/>
        <v>12.418689576317052</v>
      </c>
      <c r="K37" s="2">
        <f t="shared" si="6"/>
        <v>12.522988125783765</v>
      </c>
      <c r="L37" s="2">
        <f t="shared" si="6"/>
        <v>9.9451823116959304</v>
      </c>
      <c r="M37" s="2">
        <f t="shared" si="6"/>
        <v>11.31886811490738</v>
      </c>
      <c r="N37" s="2">
        <f t="shared" si="6"/>
        <v>8.71841358966849</v>
      </c>
      <c r="O37" s="2">
        <f t="shared" si="6"/>
        <v>8.1762140029766925</v>
      </c>
      <c r="P37" s="2">
        <f t="shared" si="6"/>
        <v>5.7081261878686567</v>
      </c>
      <c r="Q37" s="2">
        <f t="shared" si="10"/>
        <v>7.5932561868846324</v>
      </c>
      <c r="R37" s="2">
        <f t="shared" si="7"/>
        <v>5.1839380564320878</v>
      </c>
      <c r="S37" s="2">
        <f t="shared" si="10"/>
        <v>7.4233916395561028</v>
      </c>
      <c r="T37" s="2">
        <f t="shared" si="7"/>
        <v>5.0334331470218991</v>
      </c>
    </row>
    <row r="38" spans="1:20" x14ac:dyDescent="0.45">
      <c r="G38" s="2">
        <f t="shared" si="8"/>
        <v>1.0000000000000006E-4</v>
      </c>
      <c r="H38" s="2">
        <f t="shared" si="9"/>
        <v>19.306599340728734</v>
      </c>
      <c r="I38" s="2">
        <f t="shared" si="6"/>
        <v>16.405657889082189</v>
      </c>
      <c r="J38" s="2">
        <f t="shared" si="6"/>
        <v>13.696477841288193</v>
      </c>
      <c r="K38" s="2">
        <f t="shared" si="6"/>
        <v>13.833101921053668</v>
      </c>
      <c r="L38" s="2">
        <f t="shared" si="6"/>
        <v>10.968465579450525</v>
      </c>
      <c r="M38" s="2">
        <f t="shared" si="6"/>
        <v>12.503010838292155</v>
      </c>
      <c r="N38" s="2">
        <f t="shared" si="6"/>
        <v>9.6154717297872612</v>
      </c>
      <c r="O38" s="2">
        <f t="shared" si="6"/>
        <v>9.0315825979787228</v>
      </c>
      <c r="P38" s="2">
        <f t="shared" si="6"/>
        <v>6.2954487562451602</v>
      </c>
      <c r="Q38" s="2">
        <f t="shared" si="10"/>
        <v>8.3876376541140072</v>
      </c>
      <c r="R38" s="2">
        <f t="shared" si="7"/>
        <v>5.7173256714569805</v>
      </c>
      <c r="S38" s="2">
        <f t="shared" si="10"/>
        <v>8.2000024369942803</v>
      </c>
      <c r="T38" s="2">
        <f t="shared" si="7"/>
        <v>5.5513349568913402</v>
      </c>
    </row>
    <row r="39" spans="1:20" x14ac:dyDescent="0.45">
      <c r="G39" s="2">
        <f t="shared" si="8"/>
        <v>1.5848931924611145E-4</v>
      </c>
      <c r="H39" s="2">
        <f t="shared" si="9"/>
        <v>21.436960924252066</v>
      </c>
      <c r="I39" s="2">
        <f t="shared" si="6"/>
        <v>18.122006077040897</v>
      </c>
      <c r="J39" s="2">
        <f t="shared" si="6"/>
        <v>15.105775430454564</v>
      </c>
      <c r="K39" s="2">
        <f t="shared" si="6"/>
        <v>15.280311144637997</v>
      </c>
      <c r="L39" s="2">
        <f t="shared" si="6"/>
        <v>12.097064645363378</v>
      </c>
      <c r="M39" s="2">
        <f t="shared" si="6"/>
        <v>13.811066884652362</v>
      </c>
      <c r="N39" s="2">
        <f t="shared" si="6"/>
        <v>10.604854641548469</v>
      </c>
      <c r="O39" s="2">
        <f t="shared" si="6"/>
        <v>9.9764603060989323</v>
      </c>
      <c r="P39" s="2">
        <f t="shared" si="6"/>
        <v>6.943218267334462</v>
      </c>
      <c r="Q39" s="2">
        <f t="shared" si="10"/>
        <v>9.265146303034042</v>
      </c>
      <c r="R39" s="2">
        <f t="shared" si="7"/>
        <v>6.3056092709802201</v>
      </c>
      <c r="S39" s="2">
        <f t="shared" si="10"/>
        <v>9.0578808237768289</v>
      </c>
      <c r="T39" s="2">
        <f t="shared" si="7"/>
        <v>6.1225389599977422</v>
      </c>
    </row>
    <row r="40" spans="1:20" x14ac:dyDescent="0.45">
      <c r="G40" s="2">
        <f t="shared" si="8"/>
        <v>2.5118864315095817E-4</v>
      </c>
      <c r="H40" s="2">
        <f t="shared" si="9"/>
        <v>23.802487042559722</v>
      </c>
      <c r="I40" s="2">
        <f t="shared" si="6"/>
        <v>20.017991381603981</v>
      </c>
      <c r="J40" s="2">
        <f t="shared" si="6"/>
        <v>16.660143158931309</v>
      </c>
      <c r="K40" s="2">
        <f t="shared" si="6"/>
        <v>16.87898875550632</v>
      </c>
      <c r="L40" s="2">
        <f t="shared" si="6"/>
        <v>13.341839333072608</v>
      </c>
      <c r="M40" s="2">
        <f t="shared" si="6"/>
        <v>15.256027213123589</v>
      </c>
      <c r="N40" s="2">
        <f t="shared" si="6"/>
        <v>11.696082556057046</v>
      </c>
      <c r="O40" s="2">
        <f t="shared" si="6"/>
        <v>11.020231180664775</v>
      </c>
      <c r="P40" s="2">
        <f t="shared" si="6"/>
        <v>7.6576678138805248</v>
      </c>
      <c r="Q40" s="2">
        <f t="shared" si="10"/>
        <v>10.234497111134418</v>
      </c>
      <c r="R40" s="2">
        <f t="shared" si="7"/>
        <v>6.9544495509327016</v>
      </c>
      <c r="S40" s="2">
        <f t="shared" si="10"/>
        <v>10.005546819437326</v>
      </c>
      <c r="T40" s="2">
        <f t="shared" si="7"/>
        <v>6.7525415056847162</v>
      </c>
    </row>
    <row r="41" spans="1:20" x14ac:dyDescent="0.45">
      <c r="G41" s="2">
        <f t="shared" si="8"/>
        <v>3.9810717055349751E-4</v>
      </c>
      <c r="H41" s="2">
        <f t="shared" si="9"/>
        <v>26.429207184997463</v>
      </c>
      <c r="I41" s="2">
        <f t="shared" si="6"/>
        <v>22.112470623575852</v>
      </c>
      <c r="J41" s="2">
        <f t="shared" si="6"/>
        <v>18.374559599023282</v>
      </c>
      <c r="K41" s="2">
        <f t="shared" si="6"/>
        <v>18.645034653916131</v>
      </c>
      <c r="L41" s="2">
        <f t="shared" si="6"/>
        <v>14.714784839931784</v>
      </c>
      <c r="M41" s="2">
        <f t="shared" si="6"/>
        <v>16.852262904493195</v>
      </c>
      <c r="N41" s="2">
        <f t="shared" si="6"/>
        <v>12.89967102630542</v>
      </c>
      <c r="O41" s="2">
        <f t="shared" si="6"/>
        <v>12.173276209490442</v>
      </c>
      <c r="P41" s="2">
        <f t="shared" si="6"/>
        <v>8.4456821465089842</v>
      </c>
      <c r="Q41" s="2">
        <f t="shared" si="10"/>
        <v>11.30533090972378</v>
      </c>
      <c r="R41" s="2">
        <f t="shared" si="7"/>
        <v>7.6700990221389267</v>
      </c>
      <c r="S41" s="2">
        <f t="shared" si="10"/>
        <v>11.052425585563059</v>
      </c>
      <c r="T41" s="2">
        <f t="shared" si="7"/>
        <v>7.447413576069243</v>
      </c>
    </row>
    <row r="42" spans="1:20" x14ac:dyDescent="0.45">
      <c r="G42" s="2">
        <f t="shared" si="8"/>
        <v>6.3095734448019374E-4</v>
      </c>
      <c r="H42" s="2">
        <f t="shared" si="9"/>
        <v>29.346085425369949</v>
      </c>
      <c r="I42" s="2">
        <f t="shared" si="6"/>
        <v>24.426321794995623</v>
      </c>
      <c r="J42" s="2">
        <f t="shared" si="6"/>
        <v>20.265583811638813</v>
      </c>
      <c r="K42" s="2">
        <f t="shared" si="6"/>
        <v>20.596052973376533</v>
      </c>
      <c r="L42" s="2">
        <f t="shared" si="6"/>
        <v>16.229162056200853</v>
      </c>
      <c r="M42" s="2">
        <f t="shared" si="6"/>
        <v>18.615685406050371</v>
      </c>
      <c r="N42" s="2">
        <f t="shared" si="6"/>
        <v>14.227245171092834</v>
      </c>
      <c r="O42" s="2">
        <f t="shared" si="6"/>
        <v>13.447089068163718</v>
      </c>
      <c r="P42" s="2">
        <f t="shared" si="6"/>
        <v>9.3148724715904212</v>
      </c>
      <c r="Q42" s="2">
        <f t="shared" si="10"/>
        <v>12.488321884095619</v>
      </c>
      <c r="R42" s="2">
        <f t="shared" si="7"/>
        <v>8.4594699393496153</v>
      </c>
      <c r="S42" s="2">
        <f t="shared" si="10"/>
        <v>12.208952521133929</v>
      </c>
      <c r="T42" s="2">
        <f t="shared" si="7"/>
        <v>8.213866742895469</v>
      </c>
    </row>
    <row r="43" spans="1:20" x14ac:dyDescent="0.45">
      <c r="G43" s="2">
        <f t="shared" si="8"/>
        <v>1.0000000000000009E-3</v>
      </c>
      <c r="H43" s="2">
        <f t="shared" si="9"/>
        <v>32.585391867157597</v>
      </c>
      <c r="I43" s="2">
        <f t="shared" si="6"/>
        <v>26.982691998848658</v>
      </c>
      <c r="J43" s="2">
        <f t="shared" si="6"/>
        <v>22.351547473784329</v>
      </c>
      <c r="K43" s="2">
        <f t="shared" si="6"/>
        <v>22.751561141164004</v>
      </c>
      <c r="L43" s="2">
        <f t="shared" si="6"/>
        <v>17.89965142531852</v>
      </c>
      <c r="M43" s="2">
        <f t="shared" si="6"/>
        <v>20.563935490354041</v>
      </c>
      <c r="N43" s="2">
        <f t="shared" si="6"/>
        <v>15.691674556161452</v>
      </c>
      <c r="O43" s="2">
        <f t="shared" si="6"/>
        <v>14.854412614906412</v>
      </c>
      <c r="P43" s="2">
        <f t="shared" si="6"/>
        <v>10.273664760717464</v>
      </c>
      <c r="Q43" s="2">
        <f t="shared" si="10"/>
        <v>13.795304336409355</v>
      </c>
      <c r="R43" s="2">
        <f t="shared" si="7"/>
        <v>9.3302145010908433</v>
      </c>
      <c r="S43" s="2">
        <f t="shared" si="10"/>
        <v>13.486697189661037</v>
      </c>
      <c r="T43" s="2">
        <f t="shared" si="7"/>
        <v>9.0593310389472421</v>
      </c>
    </row>
    <row r="44" spans="1:20" x14ac:dyDescent="0.45">
      <c r="G44" s="2">
        <f t="shared" si="8"/>
        <v>1.5848931924611149E-3</v>
      </c>
      <c r="H44" s="2">
        <f t="shared" si="9"/>
        <v>36.183151463060021</v>
      </c>
      <c r="I44" s="2">
        <f t="shared" ref="I44:P53" si="11">((I$26*$H44^(I$25-2))/I$24)^(1/I$25)</f>
        <v>29.807298868924445</v>
      </c>
      <c r="J44" s="2">
        <f t="shared" si="11"/>
        <v>24.65278896411051</v>
      </c>
      <c r="K44" s="2">
        <f t="shared" si="11"/>
        <v>25.133244032812595</v>
      </c>
      <c r="L44" s="2">
        <f t="shared" si="11"/>
        <v>19.742540405181401</v>
      </c>
      <c r="M44" s="2">
        <f t="shared" si="11"/>
        <v>22.716612972064468</v>
      </c>
      <c r="N44" s="2">
        <f t="shared" si="11"/>
        <v>17.3072375315522</v>
      </c>
      <c r="O44" s="2">
        <f t="shared" si="11"/>
        <v>16.409404827128803</v>
      </c>
      <c r="P44" s="2">
        <f t="shared" si="11"/>
        <v>11.331407345779843</v>
      </c>
      <c r="Q44" s="2">
        <f t="shared" si="10"/>
        <v>15.239426791095152</v>
      </c>
      <c r="R44" s="2">
        <f t="shared" si="7"/>
        <v>10.290822564077816</v>
      </c>
      <c r="S44" s="2">
        <f t="shared" si="10"/>
        <v>14.898513977184455</v>
      </c>
      <c r="T44" s="2">
        <f t="shared" si="7"/>
        <v>9.9920498355261866</v>
      </c>
    </row>
    <row r="45" spans="1:20" x14ac:dyDescent="0.45">
      <c r="G45" s="2">
        <f t="shared" si="8"/>
        <v>2.5118864315095825E-3</v>
      </c>
      <c r="H45" s="2">
        <f t="shared" si="9"/>
        <v>40.179706725952578</v>
      </c>
      <c r="I45" s="2">
        <f t="shared" si="11"/>
        <v>32.928811993753229</v>
      </c>
      <c r="J45" s="2">
        <f t="shared" si="11"/>
        <v>27.191950525595885</v>
      </c>
      <c r="K45" s="2">
        <f t="shared" si="11"/>
        <v>27.765275585317365</v>
      </c>
      <c r="L45" s="2">
        <f t="shared" si="11"/>
        <v>21.775961443096705</v>
      </c>
      <c r="M45" s="2">
        <f t="shared" si="11"/>
        <v>25.09556739714597</v>
      </c>
      <c r="N45" s="2">
        <f t="shared" si="11"/>
        <v>19.089829851617509</v>
      </c>
      <c r="O45" s="2">
        <f t="shared" si="11"/>
        <v>18.127848781535981</v>
      </c>
      <c r="P45" s="2">
        <f t="shared" si="11"/>
        <v>12.498507506813301</v>
      </c>
      <c r="Q45" s="2">
        <f t="shared" si="10"/>
        <v>16.835347003538992</v>
      </c>
      <c r="R45" s="2">
        <f t="shared" si="7"/>
        <v>11.350745687940714</v>
      </c>
      <c r="S45" s="2">
        <f t="shared" si="10"/>
        <v>16.458732738526532</v>
      </c>
      <c r="T45" s="2">
        <f t="shared" si="7"/>
        <v>11.021200285795725</v>
      </c>
    </row>
    <row r="46" spans="1:20" x14ac:dyDescent="0.45">
      <c r="G46" s="2">
        <f t="shared" si="8"/>
        <v>3.9810717055349769E-3</v>
      </c>
      <c r="H46" s="2">
        <f t="shared" si="9"/>
        <v>44.620456733336781</v>
      </c>
      <c r="I46" s="2">
        <f t="shared" si="11"/>
        <v>36.379359807322736</v>
      </c>
      <c r="J46" s="2">
        <f t="shared" si="11"/>
        <v>29.99437472937835</v>
      </c>
      <c r="K46" s="2">
        <f t="shared" si="11"/>
        <v>30.674746202788988</v>
      </c>
      <c r="L46" s="2">
        <f t="shared" si="11"/>
        <v>24.02020947345865</v>
      </c>
      <c r="M46" s="2">
        <f t="shared" si="11"/>
        <v>27.725284352283495</v>
      </c>
      <c r="N46" s="2">
        <f t="shared" si="11"/>
        <v>21.057243008386248</v>
      </c>
      <c r="O46" s="2">
        <f t="shared" si="11"/>
        <v>20.027431705745766</v>
      </c>
      <c r="P46" s="2">
        <f t="shared" si="11"/>
        <v>13.786613702625919</v>
      </c>
      <c r="Q46" s="2">
        <f t="shared" si="10"/>
        <v>18.599491115533244</v>
      </c>
      <c r="R46" s="2">
        <f t="shared" si="7"/>
        <v>12.520562631264511</v>
      </c>
      <c r="S46" s="2">
        <f t="shared" si="10"/>
        <v>18.183412155318774</v>
      </c>
      <c r="T46" s="2">
        <f t="shared" si="7"/>
        <v>12.157054015986025</v>
      </c>
    </row>
    <row r="47" spans="1:20" x14ac:dyDescent="0.45">
      <c r="G47" s="2">
        <f t="shared" si="8"/>
        <v>6.3095734448019398E-3</v>
      </c>
      <c r="H47" s="2">
        <f t="shared" si="9"/>
        <v>49.556881258876885</v>
      </c>
      <c r="I47" s="2">
        <f t="shared" si="11"/>
        <v>40.195241278744206</v>
      </c>
      <c r="J47" s="2">
        <f t="shared" si="11"/>
        <v>33.088663450797249</v>
      </c>
      <c r="K47" s="2">
        <f t="shared" si="11"/>
        <v>33.892262846724471</v>
      </c>
      <c r="L47" s="2">
        <f t="shared" si="11"/>
        <v>26.498189559072618</v>
      </c>
      <c r="M47" s="2">
        <f t="shared" si="11"/>
        <v>30.63342785481084</v>
      </c>
      <c r="N47" s="2">
        <f t="shared" si="11"/>
        <v>23.229556654958376</v>
      </c>
      <c r="O47" s="2">
        <f t="shared" si="11"/>
        <v>22.128136775072775</v>
      </c>
      <c r="P47" s="2">
        <f t="shared" si="11"/>
        <v>15.208872498533115</v>
      </c>
      <c r="Q47" s="2">
        <f t="shared" si="10"/>
        <v>20.550417517249237</v>
      </c>
      <c r="R47" s="2">
        <f t="shared" si="7"/>
        <v>13.812212685159256</v>
      </c>
      <c r="S47" s="2">
        <f t="shared" si="10"/>
        <v>20.090695458218846</v>
      </c>
      <c r="T47" s="2">
        <f t="shared" si="7"/>
        <v>13.411203684607097</v>
      </c>
    </row>
    <row r="48" spans="1:20" x14ac:dyDescent="0.45">
      <c r="G48" s="2">
        <f t="shared" si="8"/>
        <v>1.0000000000000012E-2</v>
      </c>
      <c r="H48" s="2">
        <f t="shared" si="9"/>
        <v>55.048043544388108</v>
      </c>
      <c r="I48" s="2">
        <f t="shared" si="11"/>
        <v>44.417983302639861</v>
      </c>
      <c r="J48" s="2">
        <f t="shared" si="11"/>
        <v>36.507511577473544</v>
      </c>
      <c r="K48" s="2">
        <f t="shared" si="11"/>
        <v>37.452840617990717</v>
      </c>
      <c r="L48" s="2">
        <f t="shared" si="11"/>
        <v>29.236084544437038</v>
      </c>
      <c r="M48" s="2">
        <f t="shared" si="11"/>
        <v>33.851646206615847</v>
      </c>
      <c r="N48" s="2">
        <f t="shared" si="11"/>
        <v>25.629723901708008</v>
      </c>
      <c r="O48" s="2">
        <f t="shared" si="11"/>
        <v>24.452825223205647</v>
      </c>
      <c r="P48" s="2">
        <f t="shared" si="11"/>
        <v>16.780311771920136</v>
      </c>
      <c r="Q48" s="2">
        <f t="shared" si="10"/>
        <v>22.709357453867547</v>
      </c>
      <c r="R48" s="2">
        <f t="shared" si="7"/>
        <v>15.23934368832383</v>
      </c>
      <c r="S48" s="2">
        <f t="shared" si="10"/>
        <v>22.201338939928053</v>
      </c>
      <c r="T48" s="2">
        <f t="shared" si="7"/>
        <v>14.796900893615652</v>
      </c>
    </row>
    <row r="49" spans="7:20" x14ac:dyDescent="0.45">
      <c r="G49" s="2">
        <f t="shared" si="8"/>
        <v>1.5848931924611155E-2</v>
      </c>
      <c r="H49" s="2">
        <f t="shared" si="9"/>
        <v>61.162923291593586</v>
      </c>
      <c r="I49" s="2">
        <f t="shared" si="11"/>
        <v>49.09599925947451</v>
      </c>
      <c r="J49" s="2">
        <f t="shared" si="11"/>
        <v>40.289018775904765</v>
      </c>
      <c r="K49" s="2">
        <f t="shared" si="11"/>
        <v>41.397301239851807</v>
      </c>
      <c r="L49" s="2">
        <f t="shared" si="11"/>
        <v>32.264405549666812</v>
      </c>
      <c r="M49" s="2">
        <f t="shared" si="11"/>
        <v>37.416836009149257</v>
      </c>
      <c r="N49" s="2">
        <f t="shared" si="11"/>
        <v>28.284492228561479</v>
      </c>
      <c r="O49" s="2">
        <f t="shared" si="11"/>
        <v>27.028149406756473</v>
      </c>
      <c r="P49" s="2">
        <f t="shared" si="11"/>
        <v>18.518443652609307</v>
      </c>
      <c r="Q49" s="2">
        <f t="shared" si="10"/>
        <v>25.101062989322156</v>
      </c>
      <c r="R49" s="2">
        <f t="shared" si="7"/>
        <v>16.817859598247477</v>
      </c>
      <c r="S49" s="2">
        <f t="shared" si="10"/>
        <v>24.539540949606078</v>
      </c>
      <c r="T49" s="2">
        <f t="shared" si="7"/>
        <v>16.329587862020443</v>
      </c>
    </row>
    <row r="50" spans="7:20" x14ac:dyDescent="0.45">
      <c r="G50" s="2">
        <f t="shared" si="8"/>
        <v>2.5118864315095836E-2</v>
      </c>
      <c r="H50" s="2">
        <f t="shared" si="9"/>
        <v>67.984236555535148</v>
      </c>
      <c r="I50" s="2">
        <f t="shared" si="11"/>
        <v>54.287324747731319</v>
      </c>
      <c r="J50" s="2">
        <f t="shared" si="11"/>
        <v>44.478857869398006</v>
      </c>
      <c r="K50" s="2">
        <f t="shared" si="11"/>
        <v>45.774579802524414</v>
      </c>
      <c r="L50" s="2">
        <f t="shared" si="11"/>
        <v>35.619728459172912</v>
      </c>
      <c r="M50" s="2">
        <f t="shared" si="11"/>
        <v>41.373227108098874</v>
      </c>
      <c r="N50" s="2">
        <f t="shared" si="11"/>
        <v>31.225925772475616</v>
      </c>
      <c r="O50" s="2">
        <f t="shared" si="11"/>
        <v>29.886058870502257</v>
      </c>
      <c r="P50" s="2">
        <f t="shared" si="11"/>
        <v>20.444261196042689</v>
      </c>
      <c r="Q50" s="2">
        <f t="shared" si="10"/>
        <v>27.755205690240118</v>
      </c>
      <c r="R50" s="2">
        <f t="shared" si="7"/>
        <v>18.566825637990284</v>
      </c>
      <c r="S50" s="2">
        <f t="shared" si="10"/>
        <v>27.134309287623509</v>
      </c>
      <c r="T50" s="2">
        <f t="shared" si="7"/>
        <v>18.027776293599825</v>
      </c>
    </row>
    <row r="51" spans="7:20" x14ac:dyDescent="0.45">
      <c r="G51" s="2">
        <f t="shared" si="8"/>
        <v>3.9810717055349783E-2</v>
      </c>
      <c r="H51" s="2">
        <f t="shared" si="9"/>
        <v>75.615017176186427</v>
      </c>
      <c r="I51" s="2">
        <f t="shared" si="11"/>
        <v>60.06435219789428</v>
      </c>
      <c r="J51" s="2">
        <f t="shared" si="11"/>
        <v>49.134032294132155</v>
      </c>
      <c r="K51" s="2">
        <f t="shared" si="11"/>
        <v>50.645716946741665</v>
      </c>
      <c r="L51" s="2">
        <f t="shared" si="11"/>
        <v>39.347702981944998</v>
      </c>
      <c r="M51" s="2">
        <f t="shared" si="11"/>
        <v>45.775990917440971</v>
      </c>
      <c r="N51" s="2">
        <f t="shared" si="11"/>
        <v>34.494043210911151</v>
      </c>
      <c r="O51" s="2">
        <f t="shared" si="11"/>
        <v>33.06640682970599</v>
      </c>
      <c r="P51" s="2">
        <f t="shared" si="11"/>
        <v>22.583965460299041</v>
      </c>
      <c r="Q51" s="2">
        <f t="shared" si="10"/>
        <v>30.708797268063023</v>
      </c>
      <c r="R51" s="2">
        <f t="shared" si="7"/>
        <v>20.510036772418651</v>
      </c>
      <c r="S51" s="2">
        <f t="shared" si="10"/>
        <v>30.021827696833085</v>
      </c>
      <c r="T51" s="2">
        <f t="shared" si="7"/>
        <v>19.914570315676873</v>
      </c>
    </row>
    <row r="52" spans="7:20" x14ac:dyDescent="0.45">
      <c r="G52" s="2">
        <f t="shared" si="8"/>
        <v>6.3095734448019428E-2</v>
      </c>
      <c r="H52" s="2">
        <f t="shared" si="9"/>
        <v>84.190573745588694</v>
      </c>
      <c r="I52" s="2">
        <f t="shared" si="11"/>
        <v>66.522450722283466</v>
      </c>
      <c r="J52" s="2">
        <f t="shared" si="11"/>
        <v>54.329720750545093</v>
      </c>
      <c r="K52" s="2">
        <f t="shared" si="11"/>
        <v>56.091127042945978</v>
      </c>
      <c r="L52" s="2">
        <f t="shared" si="11"/>
        <v>43.508534011359039</v>
      </c>
      <c r="M52" s="2">
        <f t="shared" si="11"/>
        <v>50.697809743062827</v>
      </c>
      <c r="N52" s="2">
        <f t="shared" si="11"/>
        <v>38.141622979106643</v>
      </c>
      <c r="O52" s="2">
        <f t="shared" si="11"/>
        <v>36.621695538226554</v>
      </c>
      <c r="P52" s="2">
        <f t="shared" si="11"/>
        <v>24.972111581498154</v>
      </c>
      <c r="Q52" s="2">
        <f t="shared" si="10"/>
        <v>34.01059660603368</v>
      </c>
      <c r="R52" s="2">
        <f t="shared" si="7"/>
        <v>22.67887487349563</v>
      </c>
      <c r="S52" s="2">
        <f t="shared" si="10"/>
        <v>33.249764302385643</v>
      </c>
      <c r="T52" s="2">
        <f t="shared" si="7"/>
        <v>22.020440692530567</v>
      </c>
    </row>
    <row r="53" spans="7:20" x14ac:dyDescent="0.45">
      <c r="G53" s="2">
        <f t="shared" si="8"/>
        <v>0.10000000000000017</v>
      </c>
      <c r="H53" s="2">
        <f t="shared" si="9"/>
        <v>93.90162237114771</v>
      </c>
      <c r="I53" s="2">
        <f t="shared" si="11"/>
        <v>73.796650593992041</v>
      </c>
      <c r="J53" s="2">
        <f t="shared" si="11"/>
        <v>60.172526773606897</v>
      </c>
      <c r="K53" s="2">
        <f t="shared" si="11"/>
        <v>62.224666392588588</v>
      </c>
      <c r="L53" s="2">
        <f t="shared" si="11"/>
        <v>48.187592196534922</v>
      </c>
      <c r="M53" s="2">
        <f t="shared" si="11"/>
        <v>56.241592287522813</v>
      </c>
      <c r="N53" s="2">
        <f t="shared" si="11"/>
        <v>42.243504994935734</v>
      </c>
      <c r="O53" s="2">
        <f t="shared" si="11"/>
        <v>40.626261366657246</v>
      </c>
      <c r="P53" s="2">
        <f t="shared" si="11"/>
        <v>27.657698805972995</v>
      </c>
      <c r="Q53" s="2">
        <f t="shared" si="10"/>
        <v>37.729639948275903</v>
      </c>
      <c r="R53" s="2">
        <f t="shared" si="7"/>
        <v>25.117839493165533</v>
      </c>
      <c r="S53" s="2">
        <f t="shared" si="10"/>
        <v>36.885610976653403</v>
      </c>
      <c r="T53" s="2">
        <f t="shared" si="7"/>
        <v>24.388595023739835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proof tests</vt:lpstr>
      <vt:lpstr>circular plate</vt:lpstr>
      <vt:lpstr>lifetime fused silica</vt:lpstr>
      <vt:lpstr>Chart1</vt:lpstr>
    </vt:vector>
  </TitlesOfParts>
  <Company>Caltech, PMA, LIGO 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Coyne</dc:creator>
  <cp:lastModifiedBy>Dennis Coyne</cp:lastModifiedBy>
  <dcterms:created xsi:type="dcterms:W3CDTF">2011-06-03T20:34:15Z</dcterms:created>
  <dcterms:modified xsi:type="dcterms:W3CDTF">2025-07-16T21:17:51Z</dcterms:modified>
</cp:coreProperties>
</file>