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patrick/Downloads/"/>
    </mc:Choice>
  </mc:AlternateContent>
  <xr:revisionPtr revIDLastSave="0" documentId="13_ncr:1_{3671597C-5CAF-364E-AFE1-389F4020779C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LSC Org Chart" sheetId="1" r:id="rId1"/>
    <sheet name="Observational Science" sheetId="2" r:id="rId2"/>
    <sheet name="Instrumental Science" sheetId="3" r:id="rId3"/>
    <sheet name="Operations" sheetId="4" r:id="rId4"/>
    <sheet name="Communications" sheetId="5" r:id="rId5"/>
    <sheet name="Standards and Services" sheetId="6" r:id="rId6"/>
    <sheet name="Current" sheetId="7" r:id="rId7"/>
    <sheet name="All" sheetId="8" r:id="rId8"/>
  </sheets>
  <definedNames>
    <definedName name="_xlnm._FilterDatabase" localSheetId="7" hidden="1">All!$A$1:$K$1004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0" i="7" l="1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E148" i="7"/>
  <c r="D148" i="7"/>
  <c r="C148" i="7"/>
  <c r="B148" i="7"/>
  <c r="A148" i="7" s="1"/>
  <c r="E147" i="7"/>
  <c r="D147" i="7"/>
  <c r="C147" i="7"/>
  <c r="B147" i="7"/>
  <c r="A147" i="7" s="1"/>
  <c r="E146" i="7"/>
  <c r="D146" i="7"/>
  <c r="C146" i="7"/>
  <c r="B146" i="7"/>
  <c r="A146" i="7"/>
  <c r="E145" i="7"/>
  <c r="D145" i="7"/>
  <c r="C145" i="7"/>
  <c r="B145" i="7"/>
  <c r="A145" i="7" s="1"/>
  <c r="E144" i="7"/>
  <c r="D144" i="7"/>
  <c r="C144" i="7"/>
  <c r="A144" i="7" s="1"/>
  <c r="B144" i="7"/>
  <c r="E143" i="7"/>
  <c r="D143" i="7"/>
  <c r="C143" i="7"/>
  <c r="B143" i="7"/>
  <c r="A143" i="7" s="1"/>
  <c r="E142" i="7"/>
  <c r="D142" i="7"/>
  <c r="C142" i="7"/>
  <c r="B142" i="7"/>
  <c r="A142" i="7"/>
  <c r="F141" i="7"/>
  <c r="E141" i="7"/>
  <c r="D141" i="7"/>
  <c r="C141" i="7"/>
  <c r="A141" i="7" s="1"/>
  <c r="B141" i="7"/>
  <c r="E140" i="7"/>
  <c r="D140" i="7"/>
  <c r="C140" i="7"/>
  <c r="B140" i="7"/>
  <c r="A140" i="7" s="1"/>
  <c r="F139" i="7"/>
  <c r="E139" i="7"/>
  <c r="D139" i="7"/>
  <c r="C139" i="7"/>
  <c r="B139" i="7"/>
  <c r="A139" i="7" s="1"/>
  <c r="E138" i="7"/>
  <c r="D138" i="7"/>
  <c r="C138" i="7"/>
  <c r="B138" i="7"/>
  <c r="A138" i="7" s="1"/>
  <c r="F137" i="7"/>
  <c r="E137" i="7"/>
  <c r="D137" i="7"/>
  <c r="C137" i="7"/>
  <c r="B137" i="7"/>
  <c r="A137" i="7"/>
  <c r="E136" i="7"/>
  <c r="D136" i="7"/>
  <c r="C136" i="7"/>
  <c r="B136" i="7"/>
  <c r="A136" i="7" s="1"/>
  <c r="E135" i="7"/>
  <c r="D135" i="7"/>
  <c r="C135" i="7"/>
  <c r="B135" i="7"/>
  <c r="A135" i="7" s="1"/>
  <c r="E134" i="7"/>
  <c r="D134" i="7"/>
  <c r="C134" i="7"/>
  <c r="B134" i="7"/>
  <c r="A134" i="7" s="1"/>
  <c r="E133" i="7"/>
  <c r="D133" i="7"/>
  <c r="C133" i="7"/>
  <c r="B133" i="7"/>
  <c r="A133" i="7"/>
  <c r="E132" i="7"/>
  <c r="D132" i="7"/>
  <c r="C132" i="7"/>
  <c r="B132" i="7"/>
  <c r="A132" i="7" s="1"/>
  <c r="F131" i="7"/>
  <c r="E131" i="7"/>
  <c r="D131" i="7"/>
  <c r="C131" i="7"/>
  <c r="B131" i="7"/>
  <c r="A131" i="7" s="1"/>
  <c r="E130" i="7"/>
  <c r="D130" i="7"/>
  <c r="C130" i="7"/>
  <c r="B130" i="7"/>
  <c r="A130" i="7"/>
  <c r="F129" i="7"/>
  <c r="E129" i="7"/>
  <c r="D129" i="7"/>
  <c r="C129" i="7"/>
  <c r="B129" i="7"/>
  <c r="A129" i="7" s="1"/>
  <c r="E128" i="7"/>
  <c r="D128" i="7"/>
  <c r="C128" i="7"/>
  <c r="B128" i="7"/>
  <c r="A128" i="7" s="1"/>
  <c r="E127" i="7"/>
  <c r="D127" i="7"/>
  <c r="C127" i="7"/>
  <c r="B127" i="7"/>
  <c r="A127" i="7"/>
  <c r="F126" i="7"/>
  <c r="E126" i="7"/>
  <c r="D126" i="7"/>
  <c r="C126" i="7"/>
  <c r="B126" i="7"/>
  <c r="A126" i="7" s="1"/>
  <c r="E125" i="7"/>
  <c r="D125" i="7"/>
  <c r="C125" i="7"/>
  <c r="B125" i="7"/>
  <c r="A125" i="7" s="1"/>
  <c r="E124" i="7"/>
  <c r="D124" i="7"/>
  <c r="C124" i="7"/>
  <c r="B124" i="7"/>
  <c r="A124" i="7"/>
  <c r="E123" i="7"/>
  <c r="D123" i="7"/>
  <c r="C123" i="7"/>
  <c r="B123" i="7"/>
  <c r="A123" i="7" s="1"/>
  <c r="F122" i="7"/>
  <c r="E122" i="7"/>
  <c r="D122" i="7"/>
  <c r="C122" i="7"/>
  <c r="B122" i="7"/>
  <c r="A122" i="7" s="1"/>
  <c r="F121" i="7"/>
  <c r="E121" i="7"/>
  <c r="D121" i="7"/>
  <c r="C121" i="7"/>
  <c r="B121" i="7"/>
  <c r="A121" i="7" s="1"/>
  <c r="E120" i="7"/>
  <c r="D120" i="7"/>
  <c r="C120" i="7"/>
  <c r="B120" i="7"/>
  <c r="A120" i="7" s="1"/>
  <c r="E119" i="7"/>
  <c r="D119" i="7"/>
  <c r="C119" i="7"/>
  <c r="B119" i="7"/>
  <c r="A119" i="7" s="1"/>
  <c r="E118" i="7"/>
  <c r="D118" i="7"/>
  <c r="C118" i="7"/>
  <c r="B118" i="7"/>
  <c r="A118" i="7"/>
  <c r="F117" i="7"/>
  <c r="E117" i="7"/>
  <c r="D117" i="7"/>
  <c r="C117" i="7"/>
  <c r="B117" i="7"/>
  <c r="A117" i="7" s="1"/>
  <c r="E116" i="7"/>
  <c r="D116" i="7"/>
  <c r="C116" i="7"/>
  <c r="B116" i="7"/>
  <c r="A116" i="7" s="1"/>
  <c r="F115" i="7"/>
  <c r="E115" i="7"/>
  <c r="D115" i="7"/>
  <c r="C115" i="7"/>
  <c r="B115" i="7"/>
  <c r="A115" i="7" s="1"/>
  <c r="E114" i="7"/>
  <c r="D114" i="7"/>
  <c r="C114" i="7"/>
  <c r="B114" i="7"/>
  <c r="A114" i="7" s="1"/>
  <c r="E113" i="7"/>
  <c r="D113" i="7"/>
  <c r="C113" i="7"/>
  <c r="B113" i="7"/>
  <c r="A113" i="7" s="1"/>
  <c r="E112" i="7"/>
  <c r="D112" i="7"/>
  <c r="C112" i="7"/>
  <c r="B112" i="7"/>
  <c r="A112" i="7"/>
  <c r="E111" i="7"/>
  <c r="D111" i="7"/>
  <c r="C111" i="7"/>
  <c r="B111" i="7"/>
  <c r="A111" i="7" s="1"/>
  <c r="E110" i="7"/>
  <c r="D110" i="7"/>
  <c r="C110" i="7"/>
  <c r="B110" i="7"/>
  <c r="A110" i="7"/>
  <c r="E109" i="7"/>
  <c r="D109" i="7"/>
  <c r="C109" i="7"/>
  <c r="B109" i="7"/>
  <c r="A109" i="7" s="1"/>
  <c r="E108" i="7"/>
  <c r="D108" i="7"/>
  <c r="C108" i="7"/>
  <c r="B108" i="7"/>
  <c r="A108" i="7"/>
  <c r="E107" i="7"/>
  <c r="D107" i="7"/>
  <c r="C107" i="7"/>
  <c r="B107" i="7"/>
  <c r="A107" i="7" s="1"/>
  <c r="E106" i="7"/>
  <c r="D106" i="7"/>
  <c r="C106" i="7"/>
  <c r="B106" i="7"/>
  <c r="A106" i="7" s="1"/>
  <c r="E105" i="7"/>
  <c r="D105" i="7"/>
  <c r="C105" i="7"/>
  <c r="B105" i="7"/>
  <c r="A105" i="7" s="1"/>
  <c r="E104" i="7"/>
  <c r="D104" i="7"/>
  <c r="C104" i="7"/>
  <c r="B104" i="7"/>
  <c r="A104" i="7"/>
  <c r="F103" i="7"/>
  <c r="E103" i="7"/>
  <c r="D103" i="7"/>
  <c r="C103" i="7"/>
  <c r="B103" i="7"/>
  <c r="A103" i="7" s="1"/>
  <c r="E102" i="7"/>
  <c r="D102" i="7"/>
  <c r="C102" i="7"/>
  <c r="B102" i="7"/>
  <c r="A102" i="7" s="1"/>
  <c r="E101" i="7"/>
  <c r="D101" i="7"/>
  <c r="C101" i="7"/>
  <c r="B101" i="7"/>
  <c r="A101" i="7"/>
  <c r="E100" i="7"/>
  <c r="D100" i="7"/>
  <c r="C100" i="7"/>
  <c r="B100" i="7"/>
  <c r="A100" i="7" s="1"/>
  <c r="E99" i="7"/>
  <c r="D99" i="7"/>
  <c r="C99" i="7"/>
  <c r="B99" i="7"/>
  <c r="A99" i="7"/>
  <c r="E98" i="7"/>
  <c r="D98" i="7"/>
  <c r="C98" i="7"/>
  <c r="B98" i="7"/>
  <c r="A98" i="7" s="1"/>
  <c r="E97" i="7"/>
  <c r="D97" i="7"/>
  <c r="C97" i="7"/>
  <c r="B97" i="7"/>
  <c r="A97" i="7"/>
  <c r="E96" i="7"/>
  <c r="D96" i="7"/>
  <c r="C96" i="7"/>
  <c r="B96" i="7"/>
  <c r="A96" i="7" s="1"/>
  <c r="E95" i="7"/>
  <c r="D95" i="7"/>
  <c r="C95" i="7"/>
  <c r="B95" i="7"/>
  <c r="A95" i="7" s="1"/>
  <c r="E94" i="7"/>
  <c r="D94" i="7"/>
  <c r="C94" i="7"/>
  <c r="B94" i="7"/>
  <c r="A94" i="7" s="1"/>
  <c r="E93" i="7"/>
  <c r="D93" i="7"/>
  <c r="C93" i="7"/>
  <c r="B93" i="7"/>
  <c r="A93" i="7"/>
  <c r="E92" i="7"/>
  <c r="D92" i="7"/>
  <c r="C92" i="7"/>
  <c r="B92" i="7"/>
  <c r="A92" i="7"/>
  <c r="F91" i="7"/>
  <c r="E91" i="7"/>
  <c r="D91" i="7"/>
  <c r="C91" i="7"/>
  <c r="B91" i="7"/>
  <c r="A91" i="7" s="1"/>
  <c r="F90" i="7"/>
  <c r="E90" i="7"/>
  <c r="D90" i="7"/>
  <c r="C90" i="7"/>
  <c r="B90" i="7"/>
  <c r="A90" i="7" s="1"/>
  <c r="F89" i="7"/>
  <c r="E89" i="7"/>
  <c r="D89" i="7"/>
  <c r="C89" i="7"/>
  <c r="B89" i="7"/>
  <c r="A89" i="7" s="1"/>
  <c r="E88" i="7"/>
  <c r="D88" i="7"/>
  <c r="C88" i="7"/>
  <c r="B88" i="7"/>
  <c r="A88" i="7"/>
  <c r="E87" i="7"/>
  <c r="D87" i="7"/>
  <c r="C87" i="7"/>
  <c r="B87" i="7"/>
  <c r="A87" i="7" s="1"/>
  <c r="E86" i="7"/>
  <c r="D86" i="7"/>
  <c r="C86" i="7"/>
  <c r="B86" i="7"/>
  <c r="A86" i="7" s="1"/>
  <c r="E85" i="7"/>
  <c r="D85" i="7"/>
  <c r="C85" i="7"/>
  <c r="B85" i="7"/>
  <c r="A85" i="7" s="1"/>
  <c r="E84" i="7"/>
  <c r="D84" i="7"/>
  <c r="C84" i="7"/>
  <c r="B84" i="7"/>
  <c r="A84" i="7"/>
  <c r="F83" i="7"/>
  <c r="E83" i="7"/>
  <c r="D83" i="7"/>
  <c r="C83" i="7"/>
  <c r="B83" i="7"/>
  <c r="A83" i="7" s="1"/>
  <c r="F82" i="7"/>
  <c r="E82" i="7"/>
  <c r="D82" i="7"/>
  <c r="C82" i="7"/>
  <c r="B82" i="7"/>
  <c r="A82" i="7"/>
  <c r="E81" i="7"/>
  <c r="D81" i="7"/>
  <c r="C81" i="7"/>
  <c r="B81" i="7"/>
  <c r="A81" i="7" s="1"/>
  <c r="F80" i="7"/>
  <c r="E80" i="7"/>
  <c r="D80" i="7"/>
  <c r="C80" i="7"/>
  <c r="A80" i="7" s="1"/>
  <c r="B80" i="7"/>
  <c r="F79" i="7"/>
  <c r="E79" i="7"/>
  <c r="D79" i="7"/>
  <c r="C79" i="7"/>
  <c r="B79" i="7"/>
  <c r="A79" i="7"/>
  <c r="E78" i="7"/>
  <c r="D78" i="7"/>
  <c r="C78" i="7"/>
  <c r="B78" i="7"/>
  <c r="A78" i="7"/>
  <c r="E77" i="7"/>
  <c r="D77" i="7"/>
  <c r="C77" i="7"/>
  <c r="A77" i="7" s="1"/>
  <c r="B77" i="7"/>
  <c r="E76" i="7"/>
  <c r="D76" i="7"/>
  <c r="C76" i="7"/>
  <c r="B76" i="7"/>
  <c r="A76" i="7"/>
  <c r="E75" i="7"/>
  <c r="D75" i="7"/>
  <c r="C75" i="7"/>
  <c r="B75" i="7"/>
  <c r="A75" i="7" s="1"/>
  <c r="F74" i="7"/>
  <c r="E74" i="7"/>
  <c r="D74" i="7"/>
  <c r="C74" i="7"/>
  <c r="B74" i="7"/>
  <c r="A74" i="7" s="1"/>
  <c r="E73" i="7"/>
  <c r="D73" i="7"/>
  <c r="C73" i="7"/>
  <c r="B73" i="7"/>
  <c r="A73" i="7"/>
  <c r="E72" i="7"/>
  <c r="D72" i="7"/>
  <c r="C72" i="7"/>
  <c r="B72" i="7"/>
  <c r="A72" i="7" s="1"/>
  <c r="F71" i="7"/>
  <c r="E71" i="7"/>
  <c r="D71" i="7"/>
  <c r="C71" i="7"/>
  <c r="B71" i="7"/>
  <c r="A71" i="7" s="1"/>
  <c r="F70" i="7"/>
  <c r="E70" i="7"/>
  <c r="D70" i="7"/>
  <c r="C70" i="7"/>
  <c r="B70" i="7"/>
  <c r="A70" i="7"/>
  <c r="E69" i="7"/>
  <c r="D69" i="7"/>
  <c r="C69" i="7"/>
  <c r="B69" i="7"/>
  <c r="A69" i="7"/>
  <c r="F68" i="7"/>
  <c r="E68" i="7"/>
  <c r="D68" i="7"/>
  <c r="C68" i="7"/>
  <c r="B68" i="7"/>
  <c r="A68" i="7"/>
  <c r="F67" i="7"/>
  <c r="E67" i="7"/>
  <c r="D67" i="7"/>
  <c r="C67" i="7"/>
  <c r="B67" i="7"/>
  <c r="A67" i="7" s="1"/>
  <c r="E66" i="7"/>
  <c r="D66" i="7"/>
  <c r="C66" i="7"/>
  <c r="B66" i="7"/>
  <c r="A66" i="7" s="1"/>
  <c r="E65" i="7"/>
  <c r="D65" i="7"/>
  <c r="C65" i="7"/>
  <c r="B65" i="7"/>
  <c r="A65" i="7"/>
  <c r="E64" i="7"/>
  <c r="D64" i="7"/>
  <c r="C64" i="7"/>
  <c r="B64" i="7"/>
  <c r="A64" i="7"/>
  <c r="F63" i="7"/>
  <c r="E63" i="7"/>
  <c r="D63" i="7"/>
  <c r="C63" i="7"/>
  <c r="B63" i="7"/>
  <c r="A63" i="7" s="1"/>
  <c r="E62" i="7"/>
  <c r="D62" i="7"/>
  <c r="C62" i="7"/>
  <c r="B62" i="7"/>
  <c r="A62" i="7"/>
  <c r="E61" i="7"/>
  <c r="D61" i="7"/>
  <c r="C61" i="7"/>
  <c r="B61" i="7"/>
  <c r="A61" i="7"/>
  <c r="E60" i="7"/>
  <c r="D60" i="7"/>
  <c r="C60" i="7"/>
  <c r="B60" i="7"/>
  <c r="A60" i="7"/>
  <c r="E59" i="7"/>
  <c r="D59" i="7"/>
  <c r="C59" i="7"/>
  <c r="B59" i="7"/>
  <c r="A59" i="7" s="1"/>
  <c r="E58" i="7"/>
  <c r="D58" i="7"/>
  <c r="C58" i="7"/>
  <c r="B58" i="7"/>
  <c r="A58" i="7"/>
  <c r="F57" i="7"/>
  <c r="A57" i="7" s="1"/>
  <c r="E57" i="7"/>
  <c r="D57" i="7"/>
  <c r="C57" i="7"/>
  <c r="B57" i="7"/>
  <c r="E56" i="7"/>
  <c r="D56" i="7"/>
  <c r="C56" i="7"/>
  <c r="B56" i="7"/>
  <c r="A56" i="7" s="1"/>
  <c r="F55" i="7"/>
  <c r="E55" i="7"/>
  <c r="D55" i="7"/>
  <c r="C55" i="7"/>
  <c r="B55" i="7"/>
  <c r="A55" i="7"/>
  <c r="F54" i="7"/>
  <c r="E54" i="7"/>
  <c r="D54" i="7"/>
  <c r="C54" i="7"/>
  <c r="B54" i="7"/>
  <c r="A54" i="7" s="1"/>
  <c r="E53" i="7"/>
  <c r="D53" i="7"/>
  <c r="C53" i="7"/>
  <c r="B53" i="7"/>
  <c r="A53" i="7"/>
  <c r="E52" i="7"/>
  <c r="D52" i="7"/>
  <c r="C52" i="7"/>
  <c r="B52" i="7"/>
  <c r="A52" i="7"/>
  <c r="E51" i="7"/>
  <c r="D51" i="7"/>
  <c r="C51" i="7"/>
  <c r="B51" i="7"/>
  <c r="A51" i="7"/>
  <c r="F50" i="7"/>
  <c r="E50" i="7"/>
  <c r="D50" i="7"/>
  <c r="C50" i="7"/>
  <c r="B50" i="7"/>
  <c r="A50" i="7"/>
  <c r="F49" i="7"/>
  <c r="E49" i="7"/>
  <c r="D49" i="7"/>
  <c r="C49" i="7"/>
  <c r="B49" i="7"/>
  <c r="A49" i="7" s="1"/>
  <c r="E48" i="7"/>
  <c r="D48" i="7"/>
  <c r="C48" i="7"/>
  <c r="B48" i="7"/>
  <c r="A48" i="7" s="1"/>
  <c r="F47" i="7"/>
  <c r="E47" i="7"/>
  <c r="D47" i="7"/>
  <c r="C47" i="7"/>
  <c r="B47" i="7"/>
  <c r="A47" i="7" s="1"/>
  <c r="F46" i="7"/>
  <c r="E46" i="7"/>
  <c r="D46" i="7"/>
  <c r="C46" i="7"/>
  <c r="B46" i="7"/>
  <c r="A46" i="7" s="1"/>
  <c r="E45" i="7"/>
  <c r="D45" i="7"/>
  <c r="C45" i="7"/>
  <c r="B45" i="7"/>
  <c r="A45" i="7"/>
  <c r="E44" i="7"/>
  <c r="D44" i="7"/>
  <c r="C44" i="7"/>
  <c r="B44" i="7"/>
  <c r="A44" i="7" s="1"/>
  <c r="E43" i="7"/>
  <c r="D43" i="7"/>
  <c r="C43" i="7"/>
  <c r="B43" i="7"/>
  <c r="A43" i="7" s="1"/>
  <c r="E42" i="7"/>
  <c r="D42" i="7"/>
  <c r="C42" i="7"/>
  <c r="B42" i="7"/>
  <c r="A42" i="7" s="1"/>
  <c r="E41" i="7"/>
  <c r="D41" i="7"/>
  <c r="C41" i="7"/>
  <c r="B41" i="7"/>
  <c r="A41" i="7"/>
  <c r="E40" i="7"/>
  <c r="D40" i="7"/>
  <c r="C40" i="7"/>
  <c r="B40" i="7"/>
  <c r="A40" i="7"/>
  <c r="F39" i="7"/>
  <c r="E39" i="7"/>
  <c r="D39" i="7"/>
  <c r="C39" i="7"/>
  <c r="B39" i="7"/>
  <c r="A39" i="7" s="1"/>
  <c r="E38" i="7"/>
  <c r="D38" i="7"/>
  <c r="C38" i="7"/>
  <c r="B38" i="7"/>
  <c r="A38" i="7"/>
  <c r="F37" i="7"/>
  <c r="E37" i="7"/>
  <c r="D37" i="7"/>
  <c r="C37" i="7"/>
  <c r="B37" i="7"/>
  <c r="A37" i="7" s="1"/>
  <c r="E36" i="7"/>
  <c r="D36" i="7"/>
  <c r="C36" i="7"/>
  <c r="B36" i="7"/>
  <c r="A36" i="7" s="1"/>
  <c r="E35" i="7"/>
  <c r="D35" i="7"/>
  <c r="C35" i="7"/>
  <c r="B35" i="7"/>
  <c r="A35" i="7"/>
  <c r="E34" i="7"/>
  <c r="D34" i="7"/>
  <c r="C34" i="7"/>
  <c r="B34" i="7"/>
  <c r="A34" i="7"/>
  <c r="F33" i="7"/>
  <c r="E33" i="7"/>
  <c r="D33" i="7"/>
  <c r="C33" i="7"/>
  <c r="B33" i="7"/>
  <c r="A33" i="7" s="1"/>
  <c r="E32" i="7"/>
  <c r="D32" i="7"/>
  <c r="C32" i="7"/>
  <c r="B32" i="7"/>
  <c r="A32" i="7"/>
  <c r="E31" i="7"/>
  <c r="D31" i="7"/>
  <c r="C31" i="7"/>
  <c r="B31" i="7"/>
  <c r="A31" i="7"/>
  <c r="E30" i="7"/>
  <c r="D30" i="7"/>
  <c r="C30" i="7"/>
  <c r="B30" i="7"/>
  <c r="A30" i="7"/>
  <c r="E29" i="7"/>
  <c r="D29" i="7"/>
  <c r="C29" i="7"/>
  <c r="B29" i="7"/>
  <c r="A29" i="7" s="1"/>
  <c r="E28" i="7"/>
  <c r="D28" i="7"/>
  <c r="C28" i="7"/>
  <c r="A28" i="7" s="1"/>
  <c r="B28" i="7"/>
  <c r="E27" i="7"/>
  <c r="D27" i="7"/>
  <c r="C27" i="7"/>
  <c r="B27" i="7"/>
  <c r="A27" i="7" s="1"/>
  <c r="E26" i="7"/>
  <c r="D26" i="7"/>
  <c r="C26" i="7"/>
  <c r="B26" i="7"/>
  <c r="A26" i="7" s="1"/>
  <c r="F25" i="7"/>
  <c r="E25" i="7"/>
  <c r="D25" i="7"/>
  <c r="C25" i="7"/>
  <c r="A25" i="7" s="1"/>
  <c r="B25" i="7"/>
  <c r="E24" i="7"/>
  <c r="D24" i="7"/>
  <c r="C24" i="7"/>
  <c r="B24" i="7"/>
  <c r="A24" i="7" s="1"/>
  <c r="E23" i="7"/>
  <c r="D23" i="7"/>
  <c r="C23" i="7"/>
  <c r="B23" i="7"/>
  <c r="A23" i="7" s="1"/>
  <c r="E22" i="7"/>
  <c r="D22" i="7"/>
  <c r="C22" i="7"/>
  <c r="B22" i="7"/>
  <c r="A22" i="7" s="1"/>
  <c r="E21" i="7"/>
  <c r="D21" i="7"/>
  <c r="C21" i="7"/>
  <c r="B21" i="7"/>
  <c r="A21" i="7"/>
  <c r="F20" i="7"/>
  <c r="E20" i="7"/>
  <c r="D20" i="7"/>
  <c r="C20" i="7"/>
  <c r="B20" i="7"/>
  <c r="A20" i="7" s="1"/>
  <c r="F19" i="7"/>
  <c r="E19" i="7"/>
  <c r="D19" i="7"/>
  <c r="C19" i="7"/>
  <c r="A19" i="7" s="1"/>
  <c r="B19" i="7"/>
  <c r="E18" i="7"/>
  <c r="D18" i="7"/>
  <c r="C18" i="7"/>
  <c r="B18" i="7"/>
  <c r="A18" i="7" s="1"/>
  <c r="F17" i="7"/>
  <c r="E17" i="7"/>
  <c r="D17" i="7"/>
  <c r="C17" i="7"/>
  <c r="B17" i="7"/>
  <c r="A17" i="7" s="1"/>
  <c r="E16" i="7"/>
  <c r="D16" i="7"/>
  <c r="C16" i="7"/>
  <c r="A16" i="7" s="1"/>
  <c r="B16" i="7"/>
  <c r="G15" i="7"/>
  <c r="A15" i="7" s="1"/>
  <c r="F15" i="7"/>
  <c r="E15" i="7"/>
  <c r="D15" i="7"/>
  <c r="C15" i="7"/>
  <c r="B15" i="7"/>
  <c r="E14" i="7"/>
  <c r="D14" i="7"/>
  <c r="C14" i="7"/>
  <c r="B14" i="7"/>
  <c r="A14" i="7"/>
  <c r="E13" i="7"/>
  <c r="D13" i="7"/>
  <c r="C13" i="7"/>
  <c r="B13" i="7"/>
  <c r="A13" i="7"/>
  <c r="E12" i="7"/>
  <c r="D12" i="7"/>
  <c r="C12" i="7"/>
  <c r="B12" i="7"/>
  <c r="A12" i="7"/>
  <c r="F11" i="7"/>
  <c r="E11" i="7"/>
  <c r="D11" i="7"/>
  <c r="C11" i="7"/>
  <c r="B11" i="7"/>
  <c r="A11" i="7"/>
  <c r="E10" i="7"/>
  <c r="D10" i="7"/>
  <c r="C10" i="7"/>
  <c r="B10" i="7"/>
  <c r="A10" i="7"/>
  <c r="E9" i="7"/>
  <c r="D9" i="7"/>
  <c r="C9" i="7"/>
  <c r="B9" i="7"/>
  <c r="A9" i="7"/>
  <c r="F8" i="7"/>
  <c r="E8" i="7"/>
  <c r="D8" i="7"/>
  <c r="C8" i="7"/>
  <c r="B8" i="7"/>
  <c r="A8" i="7"/>
  <c r="E7" i="7"/>
  <c r="D7" i="7"/>
  <c r="C7" i="7"/>
  <c r="B7" i="7"/>
  <c r="A7" i="7"/>
  <c r="F6" i="7"/>
  <c r="E6" i="7"/>
  <c r="D6" i="7"/>
  <c r="C6" i="7"/>
  <c r="B6" i="7"/>
  <c r="A6" i="7" s="1"/>
  <c r="E5" i="7"/>
  <c r="D5" i="7"/>
  <c r="C5" i="7"/>
  <c r="B5" i="7"/>
  <c r="A5" i="7"/>
  <c r="F4" i="7"/>
  <c r="E4" i="7"/>
  <c r="D4" i="7"/>
  <c r="C4" i="7"/>
  <c r="B4" i="7"/>
  <c r="A4" i="7" s="1"/>
  <c r="F3" i="7"/>
  <c r="E3" i="7"/>
  <c r="D3" i="7"/>
  <c r="C3" i="7"/>
  <c r="A3" i="7" s="1"/>
  <c r="B3" i="7"/>
  <c r="G2" i="7"/>
  <c r="A2" i="7" s="1"/>
  <c r="E2" i="7"/>
  <c r="D2" i="7"/>
  <c r="C2" i="7"/>
  <c r="B2" i="7"/>
  <c r="A8" i="6"/>
  <c r="A7" i="6"/>
  <c r="A6" i="6"/>
  <c r="A5" i="6"/>
  <c r="S4" i="6"/>
  <c r="P4" i="6"/>
  <c r="M4" i="6"/>
  <c r="J4" i="6"/>
  <c r="G4" i="6"/>
  <c r="D4" i="6"/>
  <c r="A4" i="6"/>
  <c r="S2" i="6"/>
  <c r="Q2" i="6"/>
  <c r="P2" i="6"/>
  <c r="M2" i="6"/>
  <c r="K2" i="6"/>
  <c r="J2" i="6"/>
  <c r="H2" i="6"/>
  <c r="G2" i="6"/>
  <c r="D2" i="6"/>
  <c r="A2" i="6"/>
  <c r="M2" i="5"/>
  <c r="J2" i="5"/>
  <c r="G2" i="5"/>
  <c r="D2" i="5"/>
  <c r="B2" i="5"/>
  <c r="A2" i="5"/>
  <c r="D35" i="4"/>
  <c r="D34" i="4"/>
  <c r="D33" i="4"/>
  <c r="D32" i="4"/>
  <c r="D31" i="4"/>
  <c r="D28" i="4"/>
  <c r="D25" i="4"/>
  <c r="D22" i="4"/>
  <c r="D19" i="4"/>
  <c r="D18" i="4"/>
  <c r="D15" i="4"/>
  <c r="D14" i="4"/>
  <c r="D13" i="4"/>
  <c r="D10" i="4"/>
  <c r="D9" i="4"/>
  <c r="D8" i="4"/>
  <c r="G5" i="4"/>
  <c r="D5" i="4"/>
  <c r="A5" i="4"/>
  <c r="S2" i="4"/>
  <c r="Q2" i="4"/>
  <c r="P2" i="4"/>
  <c r="N2" i="4"/>
  <c r="M2" i="4"/>
  <c r="J2" i="4"/>
  <c r="G2" i="4"/>
  <c r="E2" i="4"/>
  <c r="D2" i="4"/>
  <c r="B2" i="4"/>
  <c r="A2" i="4"/>
  <c r="P2" i="3"/>
  <c r="M2" i="3"/>
  <c r="J2" i="3"/>
  <c r="H2" i="3"/>
  <c r="G2" i="3"/>
  <c r="D2" i="3"/>
  <c r="A2" i="3"/>
  <c r="K37" i="2"/>
  <c r="J37" i="2"/>
  <c r="H37" i="2"/>
  <c r="G37" i="2"/>
  <c r="E37" i="2"/>
  <c r="D37" i="2"/>
  <c r="B37" i="2"/>
  <c r="A37" i="2"/>
  <c r="D33" i="2"/>
  <c r="D32" i="2"/>
  <c r="D31" i="2"/>
  <c r="A31" i="2"/>
  <c r="A30" i="2"/>
  <c r="A29" i="2"/>
  <c r="J28" i="2"/>
  <c r="D28" i="2"/>
  <c r="A28" i="2"/>
  <c r="J27" i="2"/>
  <c r="D27" i="2"/>
  <c r="A27" i="2"/>
  <c r="A26" i="2"/>
  <c r="A25" i="2"/>
  <c r="J24" i="2"/>
  <c r="D24" i="2"/>
  <c r="A24" i="2"/>
  <c r="J23" i="2"/>
  <c r="D23" i="2"/>
  <c r="A23" i="2"/>
  <c r="J20" i="2"/>
  <c r="D20" i="2"/>
  <c r="A20" i="2"/>
  <c r="J19" i="2"/>
  <c r="D19" i="2"/>
  <c r="A19" i="2"/>
  <c r="J16" i="2"/>
  <c r="D16" i="2"/>
  <c r="J15" i="2"/>
  <c r="D15" i="2"/>
  <c r="A15" i="2"/>
  <c r="D12" i="2"/>
  <c r="J11" i="2"/>
  <c r="D11" i="2"/>
  <c r="A11" i="2"/>
  <c r="J10" i="2"/>
  <c r="D10" i="2"/>
  <c r="A10" i="2"/>
  <c r="D7" i="2"/>
  <c r="J6" i="2"/>
  <c r="D6" i="2"/>
  <c r="A6" i="2"/>
  <c r="J5" i="2"/>
  <c r="D5" i="2"/>
  <c r="A5" i="2"/>
  <c r="K2" i="2"/>
  <c r="J2" i="2"/>
  <c r="H2" i="2"/>
  <c r="G2" i="2"/>
  <c r="E2" i="2"/>
  <c r="D2" i="2"/>
  <c r="B2" i="2"/>
  <c r="A2" i="2"/>
  <c r="M32" i="1"/>
  <c r="G32" i="1"/>
  <c r="N29" i="1"/>
  <c r="M29" i="1"/>
  <c r="H29" i="1"/>
  <c r="G29" i="1"/>
  <c r="D29" i="1"/>
  <c r="M26" i="1"/>
  <c r="H26" i="1"/>
  <c r="G26" i="1"/>
  <c r="D26" i="1"/>
  <c r="N23" i="1"/>
  <c r="M23" i="1"/>
  <c r="K23" i="1"/>
  <c r="J23" i="1"/>
  <c r="G23" i="1"/>
  <c r="D23" i="1"/>
  <c r="B23" i="1"/>
  <c r="A23" i="1"/>
  <c r="N20" i="1"/>
  <c r="M20" i="1"/>
  <c r="J20" i="1"/>
  <c r="G20" i="1"/>
  <c r="E20" i="1"/>
  <c r="D20" i="1"/>
  <c r="B20" i="1"/>
  <c r="A20" i="1"/>
  <c r="M17" i="1"/>
  <c r="J17" i="1"/>
  <c r="H17" i="1"/>
  <c r="G17" i="1"/>
  <c r="D17" i="1"/>
  <c r="B17" i="1"/>
  <c r="A17" i="1"/>
  <c r="M14" i="1"/>
  <c r="K14" i="1"/>
  <c r="J14" i="1"/>
  <c r="H14" i="1"/>
  <c r="G14" i="1"/>
  <c r="D14" i="1"/>
  <c r="B14" i="1"/>
  <c r="A14" i="1"/>
  <c r="M11" i="1"/>
  <c r="J11" i="1"/>
  <c r="G11" i="1"/>
  <c r="D11" i="1"/>
  <c r="A11" i="1"/>
  <c r="K8" i="1"/>
  <c r="J8" i="1"/>
  <c r="G8" i="1"/>
  <c r="G5" i="1"/>
  <c r="J2" i="1"/>
  <c r="G2" i="1"/>
</calcChain>
</file>

<file path=xl/sharedStrings.xml><?xml version="1.0" encoding="utf-8"?>
<sst xmlns="http://schemas.openxmlformats.org/spreadsheetml/2006/main" count="1784" uniqueCount="523">
  <si>
    <t>Council</t>
  </si>
  <si>
    <t>Ombudsperson</t>
  </si>
  <si>
    <t>Spokesperson</t>
  </si>
  <si>
    <t>LIGO-Virgo-KAGRA Committees</t>
  </si>
  <si>
    <t>Management Team</t>
  </si>
  <si>
    <t>Program Committee</t>
  </si>
  <si>
    <t>Observational Science Division</t>
  </si>
  <si>
    <t>Instrument Science Division</t>
  </si>
  <si>
    <t>Operations Division</t>
  </si>
  <si>
    <t>Communications Division</t>
  </si>
  <si>
    <t>Standards &amp; Services Division</t>
  </si>
  <si>
    <t>Burst WG</t>
  </si>
  <si>
    <t>Quantum Noise WG</t>
  </si>
  <si>
    <t>Calibration WG</t>
  </si>
  <si>
    <t>Formal Education Committee</t>
  </si>
  <si>
    <t>Diversity, Equity &amp; Inclusion Committee</t>
  </si>
  <si>
    <t>Compact Binaries WG</t>
  </si>
  <si>
    <t>Lasers &amp; Auxilliary Optics WG</t>
  </si>
  <si>
    <t>Detector Characterization WG</t>
  </si>
  <si>
    <t>Informal Education &amp; Outreach Committee</t>
  </si>
  <si>
    <t>Meetings Committee</t>
  </si>
  <si>
    <t>Continuous Waves WG</t>
  </si>
  <si>
    <t>Optics WG</t>
  </si>
  <si>
    <t>Low-latency WG</t>
  </si>
  <si>
    <t>Web Committee</t>
  </si>
  <si>
    <t>Elections &amp; Membership Committee</t>
  </si>
  <si>
    <t>Stochastic WG</t>
  </si>
  <si>
    <t>Seismic Isolation &amp; Suspensions WG</t>
  </si>
  <si>
    <t>Run Planning Committee</t>
  </si>
  <si>
    <t>LIGO Magazine</t>
  </si>
  <si>
    <t>Academic Advisory Committee</t>
  </si>
  <si>
    <t>Adv. Interferometer Configurations WG</t>
  </si>
  <si>
    <t>Computing &amp; Software WG</t>
  </si>
  <si>
    <t>Speakers &amp; Awards Committee</t>
  </si>
  <si>
    <t>Control Systems WG</t>
  </si>
  <si>
    <t>Support of Observatories Committee</t>
  </si>
  <si>
    <t>Editorial Board</t>
  </si>
  <si>
    <t>Open Data WG</t>
  </si>
  <si>
    <t>Standards &amp; Conduct Committee</t>
  </si>
  <si>
    <t>All-sky Unmodeled (short) Subgroup Burst</t>
  </si>
  <si>
    <t>Parameter Estimation Subgroup CBC</t>
  </si>
  <si>
    <t>No subgroups</t>
  </si>
  <si>
    <t>Isotropic Analysis Subgroup Stochastic</t>
  </si>
  <si>
    <t>All-sky Searches Subgroup CBC Burst</t>
  </si>
  <si>
    <t>Directional Analysis Subgroup Stochastic</t>
  </si>
  <si>
    <t>Binary Black Holes Subgroup Burst</t>
  </si>
  <si>
    <t>Cosmology Subgroup CBC</t>
  </si>
  <si>
    <t>Detector Characterization Subgroup Stochastic</t>
  </si>
  <si>
    <t>Supernovae Subgroup Burst</t>
  </si>
  <si>
    <t>Extreme Mastter Subgroup CBC</t>
  </si>
  <si>
    <t>Mock Data Challenge Subgroup Stochastic</t>
  </si>
  <si>
    <t>Burst Pipeline Support, R&amp;D</t>
  </si>
  <si>
    <t>Rates &amp; Populations Subgroup CBC</t>
  </si>
  <si>
    <t>PE &amp; Implications Subgroup Stochastics</t>
  </si>
  <si>
    <t>Testing GR Subgroup CBC</t>
  </si>
  <si>
    <t>Intermittent Duration Background Subgroup Stochastics</t>
  </si>
  <si>
    <t>Waveform Models Subgroup</t>
  </si>
  <si>
    <t>Burst Review Chairs</t>
  </si>
  <si>
    <t>Compact Binaries Review Chairs</t>
  </si>
  <si>
    <t>CW Review Chairs</t>
  </si>
  <si>
    <t>Stochastic Review Chairs</t>
  </si>
  <si>
    <t>No Subgroups</t>
  </si>
  <si>
    <t>Calibration Review Chairs</t>
  </si>
  <si>
    <t>Detector Characterization Review Chairs</t>
  </si>
  <si>
    <t>LOw-latency Review Chairs</t>
  </si>
  <si>
    <t>Open Data Review Chairs</t>
  </si>
  <si>
    <t>Computing Leads Detchar</t>
  </si>
  <si>
    <t>LIGO Lab Security Officer</t>
  </si>
  <si>
    <t>Randy</t>
  </si>
  <si>
    <t>SCCB</t>
  </si>
  <si>
    <t>Instrumentation Leads Detchar</t>
  </si>
  <si>
    <t>Event Validation Leads Detchar</t>
  </si>
  <si>
    <t>Low-Latency DQ Detchar</t>
  </si>
  <si>
    <t>DQ Shifts Detchar</t>
  </si>
  <si>
    <t>Safety Studies Detchar</t>
  </si>
  <si>
    <t>Liasons Detchar</t>
  </si>
  <si>
    <t>Professional Outreach Committee</t>
  </si>
  <si>
    <t>Name</t>
  </si>
  <si>
    <t>Last Name</t>
  </si>
  <si>
    <t>First Name</t>
  </si>
  <si>
    <t>Working Group or Committee</t>
  </si>
  <si>
    <t>Role</t>
  </si>
  <si>
    <t>Annotation</t>
  </si>
  <si>
    <t>Email</t>
  </si>
  <si>
    <t>Start Date</t>
  </si>
  <si>
    <t>End Date</t>
  </si>
  <si>
    <t>Current</t>
  </si>
  <si>
    <t>LSC Group</t>
  </si>
  <si>
    <t>Organizational Entity</t>
  </si>
  <si>
    <t>Elected/Appointed</t>
  </si>
  <si>
    <t>Ballmer</t>
  </si>
  <si>
    <t>Stefan</t>
  </si>
  <si>
    <t>yes</t>
  </si>
  <si>
    <t>Syracuse</t>
  </si>
  <si>
    <t>Chair</t>
  </si>
  <si>
    <t>MT</t>
  </si>
  <si>
    <t>Appointed</t>
  </si>
  <si>
    <t>Bose</t>
  </si>
  <si>
    <t>Sukanta</t>
  </si>
  <si>
    <t>LISC</t>
  </si>
  <si>
    <t>Member</t>
  </si>
  <si>
    <t>Sanders</t>
  </si>
  <si>
    <t>Jax</t>
  </si>
  <si>
    <t>Marquette</t>
  </si>
  <si>
    <t>Berry</t>
  </si>
  <si>
    <t>Christopher</t>
  </si>
  <si>
    <t>Northwestern</t>
  </si>
  <si>
    <t>Ottaway</t>
  </si>
  <si>
    <t>David</t>
  </si>
  <si>
    <t>OzGrav</t>
  </si>
  <si>
    <t>Marka</t>
  </si>
  <si>
    <t>Zsuzsa</t>
  </si>
  <si>
    <t>Columbia</t>
  </si>
  <si>
    <t>Reid</t>
  </si>
  <si>
    <t>Stuart</t>
  </si>
  <si>
    <t>GEO</t>
  </si>
  <si>
    <t>Romie</t>
  </si>
  <si>
    <t>Janeen</t>
  </si>
  <si>
    <t>LLO</t>
  </si>
  <si>
    <t>Romano</t>
  </si>
  <si>
    <t>Joe</t>
  </si>
  <si>
    <t>Texas Tech</t>
  </si>
  <si>
    <t xml:space="preserve">Mandic </t>
  </si>
  <si>
    <t>Vuk</t>
  </si>
  <si>
    <t>U Minnesota</t>
  </si>
  <si>
    <t>Deputy Chair</t>
  </si>
  <si>
    <t xml:space="preserve">Read </t>
  </si>
  <si>
    <t>Jocelyn</t>
  </si>
  <si>
    <t>Fullerton</t>
  </si>
  <si>
    <t>Sutton</t>
  </si>
  <si>
    <t>Patrick</t>
  </si>
  <si>
    <t>Barsotti</t>
  </si>
  <si>
    <t>Lisa</t>
  </si>
  <si>
    <t>LIGOLab</t>
  </si>
  <si>
    <t>Keitel</t>
  </si>
  <si>
    <t>U. Balearic</t>
  </si>
  <si>
    <t>Hendry</t>
  </si>
  <si>
    <t>Martin</t>
  </si>
  <si>
    <t>UGlasgow</t>
  </si>
  <si>
    <t>O'Reilly</t>
  </si>
  <si>
    <t>Brian</t>
  </si>
  <si>
    <t>Fulda</t>
  </si>
  <si>
    <t>Paul</t>
  </si>
  <si>
    <t>UFlorida</t>
  </si>
  <si>
    <t>Elected</t>
  </si>
  <si>
    <t>Brown</t>
  </si>
  <si>
    <t>Daniel</t>
  </si>
  <si>
    <t>Harry</t>
  </si>
  <si>
    <t>Ian</t>
  </si>
  <si>
    <t>CBC</t>
  </si>
  <si>
    <t>Milotti</t>
  </si>
  <si>
    <t>Edoardo</t>
  </si>
  <si>
    <t>Virgo</t>
  </si>
  <si>
    <t>Burst</t>
  </si>
  <si>
    <t>Sordini</t>
  </si>
  <si>
    <t>Viola</t>
  </si>
  <si>
    <t>Ashton</t>
  </si>
  <si>
    <t>Gregory</t>
  </si>
  <si>
    <t>Vajente</t>
  </si>
  <si>
    <t>Gabriele</t>
  </si>
  <si>
    <t>CIT</t>
  </si>
  <si>
    <t>Penn</t>
  </si>
  <si>
    <t>Steven</t>
  </si>
  <si>
    <t>HWS</t>
  </si>
  <si>
    <t>Whelan</t>
  </si>
  <si>
    <t>John</t>
  </si>
  <si>
    <t>RIT</t>
  </si>
  <si>
    <t>Fritschel</t>
  </si>
  <si>
    <t>Peter</t>
  </si>
  <si>
    <t>MIT</t>
  </si>
  <si>
    <t>Zimmerman</t>
  </si>
  <si>
    <t>Aaron</t>
  </si>
  <si>
    <t>UTAustin</t>
  </si>
  <si>
    <t>Brady</t>
  </si>
  <si>
    <t>patrick.brady@ligo.org</t>
  </si>
  <si>
    <t>UWM</t>
  </si>
  <si>
    <t>Cadonati</t>
  </si>
  <si>
    <t>Laura</t>
  </si>
  <si>
    <t>GIT</t>
  </si>
  <si>
    <t>UMinnesota</t>
  </si>
  <si>
    <t>Varma</t>
  </si>
  <si>
    <t>Vijay</t>
  </si>
  <si>
    <t>AEI-Potsdam-Golm</t>
  </si>
  <si>
    <t>Steinlechner</t>
  </si>
  <si>
    <t>Jessica</t>
  </si>
  <si>
    <t>Maastricht</t>
  </si>
  <si>
    <t>LAAC</t>
  </si>
  <si>
    <t>Eassa</t>
  </si>
  <si>
    <t>Cassidy</t>
  </si>
  <si>
    <t>LHO</t>
  </si>
  <si>
    <t>Shoemaker</t>
  </si>
  <si>
    <t>Dierdre</t>
  </si>
  <si>
    <t>Speakers</t>
  </si>
  <si>
    <t>Walker</t>
  </si>
  <si>
    <t>Marissa</t>
  </si>
  <si>
    <t>CNU</t>
  </si>
  <si>
    <t>Williams</t>
  </si>
  <si>
    <t>Green</t>
  </si>
  <si>
    <t>Anna</t>
  </si>
  <si>
    <t>Postdoc Representative</t>
  </si>
  <si>
    <t>Ohme</t>
  </si>
  <si>
    <t>Frank</t>
  </si>
  <si>
    <t>Biscoveanu</t>
  </si>
  <si>
    <t>Sylvia</t>
  </si>
  <si>
    <t>Student Representative</t>
  </si>
  <si>
    <t>Tanner</t>
  </si>
  <si>
    <t>OmbudOne</t>
  </si>
  <si>
    <t>Sachdev</t>
  </si>
  <si>
    <t>Surabhi</t>
  </si>
  <si>
    <t>Kandhasamy</t>
  </si>
  <si>
    <t>Shivaraj</t>
  </si>
  <si>
    <t>Drigger</t>
  </si>
  <si>
    <t>Jenne</t>
  </si>
  <si>
    <t>Elected Representative</t>
  </si>
  <si>
    <t>Powell</t>
  </si>
  <si>
    <t>Jade</t>
  </si>
  <si>
    <t>Cavaglia</t>
  </si>
  <si>
    <t>Marco</t>
  </si>
  <si>
    <t>MissouriU</t>
  </si>
  <si>
    <t>Rollins</t>
  </si>
  <si>
    <t>Jameson</t>
  </si>
  <si>
    <t>Sun</t>
  </si>
  <si>
    <t>Ling</t>
  </si>
  <si>
    <t>Messenger</t>
  </si>
  <si>
    <t>Ghosh</t>
  </si>
  <si>
    <t>Archisman</t>
  </si>
  <si>
    <t>Couvares</t>
  </si>
  <si>
    <t>MacLeod</t>
  </si>
  <si>
    <t>Duncan</t>
  </si>
  <si>
    <t>Pitkin</t>
  </si>
  <si>
    <t>Matthew</t>
  </si>
  <si>
    <t>Gair</t>
  </si>
  <si>
    <t>Jonathan</t>
  </si>
  <si>
    <t>Tamanini</t>
  </si>
  <si>
    <t>Nicola</t>
  </si>
  <si>
    <t>Davis</t>
  </si>
  <si>
    <t>Derek</t>
  </si>
  <si>
    <t>Hughey</t>
  </si>
  <si>
    <t>Brennan</t>
  </si>
  <si>
    <t>EmbryRiddle</t>
  </si>
  <si>
    <t>Frey</t>
  </si>
  <si>
    <t>Ray</t>
  </si>
  <si>
    <t>UOregon</t>
  </si>
  <si>
    <t>O'Shaughnessy</t>
  </si>
  <si>
    <t>Richard</t>
  </si>
  <si>
    <t>Riles</t>
  </si>
  <si>
    <t>Keith</t>
  </si>
  <si>
    <t>UMichigan</t>
  </si>
  <si>
    <t>Hammond</t>
  </si>
  <si>
    <t>Giles</t>
  </si>
  <si>
    <t>Dietrich</t>
  </si>
  <si>
    <t>Tim</t>
  </si>
  <si>
    <t>CSUF</t>
  </si>
  <si>
    <t>Strunk</t>
  </si>
  <si>
    <t>Amber</t>
  </si>
  <si>
    <t>Cominsky</t>
  </si>
  <si>
    <t>Lynn</t>
  </si>
  <si>
    <t>SonomaState</t>
  </si>
  <si>
    <t>Stuver</t>
  </si>
  <si>
    <t>VillanovaU</t>
  </si>
  <si>
    <t>Quetschke</t>
  </si>
  <si>
    <t>Volker</t>
  </si>
  <si>
    <t>UTRGV</t>
  </si>
  <si>
    <t>Middleton</t>
  </si>
  <si>
    <t>Hannah</t>
  </si>
  <si>
    <t>Editor-in-Chief</t>
  </si>
  <si>
    <t>Shaon</t>
  </si>
  <si>
    <t>Monclair</t>
  </si>
  <si>
    <t>Heng</t>
  </si>
  <si>
    <t>Ik Siong</t>
  </si>
  <si>
    <t>Kanner</t>
  </si>
  <si>
    <t>Jonah</t>
  </si>
  <si>
    <t>Schmidt</t>
  </si>
  <si>
    <t>Patricia</t>
  </si>
  <si>
    <t>Talbot</t>
  </si>
  <si>
    <t>Colm</t>
  </si>
  <si>
    <t>McCuller</t>
  </si>
  <si>
    <t>Lee</t>
  </si>
  <si>
    <t>Doctor</t>
  </si>
  <si>
    <t>Zoheyr</t>
  </si>
  <si>
    <t>NU</t>
  </si>
  <si>
    <t>Dent</t>
  </si>
  <si>
    <t>Thomas</t>
  </si>
  <si>
    <t>USantiago</t>
  </si>
  <si>
    <t>Gonzalez</t>
  </si>
  <si>
    <t>Gabriela</t>
  </si>
  <si>
    <t>LSU</t>
  </si>
  <si>
    <t>Bailes</t>
  </si>
  <si>
    <t>Savage</t>
  </si>
  <si>
    <t>Rick</t>
  </si>
  <si>
    <t>Effler</t>
  </si>
  <si>
    <t>Anamaria</t>
  </si>
  <si>
    <t>Li</t>
  </si>
  <si>
    <t>Tjonnie</t>
  </si>
  <si>
    <t>CUHK</t>
  </si>
  <si>
    <t>Agathos</t>
  </si>
  <si>
    <t>Michalis</t>
  </si>
  <si>
    <t>michalis.agathos@ligo.org</t>
  </si>
  <si>
    <t>Pratten</t>
  </si>
  <si>
    <t>Geraint</t>
  </si>
  <si>
    <t>Haney</t>
  </si>
  <si>
    <t>Maria</t>
  </si>
  <si>
    <t>Favata</t>
  </si>
  <si>
    <t>Prodi</t>
  </si>
  <si>
    <t>Giovanni</t>
  </si>
  <si>
    <t>Szczepanczyk</t>
  </si>
  <si>
    <t>Marek</t>
  </si>
  <si>
    <t>Lazzaro</t>
  </si>
  <si>
    <t>Claudia</t>
  </si>
  <si>
    <t>All-sky Unmodeled (long) Subgroup Burst</t>
  </si>
  <si>
    <t>Coughlin</t>
  </si>
  <si>
    <t>Michael</t>
  </si>
  <si>
    <t>Gayathri</t>
  </si>
  <si>
    <t>V</t>
  </si>
  <si>
    <t>Bizouard</t>
  </si>
  <si>
    <t>Marie-Anne</t>
  </si>
  <si>
    <t>Pannarele</t>
  </si>
  <si>
    <t>Francesco</t>
  </si>
  <si>
    <t>GRB/FRB/Magnetar Subgroup Burst</t>
  </si>
  <si>
    <t>Williamson</t>
  </si>
  <si>
    <t>Andrew</t>
  </si>
  <si>
    <t>Corsi</t>
  </si>
  <si>
    <t>Allessandra</t>
  </si>
  <si>
    <t>High-energy neutrinos</t>
  </si>
  <si>
    <t>Becsy</t>
  </si>
  <si>
    <t>Bence</t>
  </si>
  <si>
    <t xml:space="preserve">Montana </t>
  </si>
  <si>
    <t>BayesWave</t>
  </si>
  <si>
    <t>Millhouse</t>
  </si>
  <si>
    <t>Meg</t>
  </si>
  <si>
    <t>CocoA</t>
  </si>
  <si>
    <t>Tsuna</t>
  </si>
  <si>
    <t>Daichi</t>
  </si>
  <si>
    <t>UTokyo</t>
  </si>
  <si>
    <t>CosmicStrings</t>
  </si>
  <si>
    <t>Klimenko</t>
  </si>
  <si>
    <t>Sergei</t>
  </si>
  <si>
    <t>cWB</t>
  </si>
  <si>
    <t>LLAMA</t>
  </si>
  <si>
    <t>Marx</t>
  </si>
  <si>
    <t>Ethan</t>
  </si>
  <si>
    <t>oLIB</t>
  </si>
  <si>
    <t>Macquet</t>
  </si>
  <si>
    <t>Adrian</t>
  </si>
  <si>
    <t>STAMP-AS</t>
  </si>
  <si>
    <t>X-pipeline</t>
  </si>
  <si>
    <t>Garufi</t>
  </si>
  <si>
    <t>Fabio</t>
  </si>
  <si>
    <t>Renzini</t>
  </si>
  <si>
    <t>Arianna</t>
  </si>
  <si>
    <t>Romero</t>
  </si>
  <si>
    <t>Alba</t>
  </si>
  <si>
    <t>Suresh</t>
  </si>
  <si>
    <t>Jishnu</t>
  </si>
  <si>
    <t>Tsukada</t>
  </si>
  <si>
    <t>Leo</t>
  </si>
  <si>
    <t>Penn State</t>
  </si>
  <si>
    <t>Charlton</t>
  </si>
  <si>
    <t>Philip</t>
  </si>
  <si>
    <t>Janssens</t>
  </si>
  <si>
    <t>Kamiel</t>
  </si>
  <si>
    <t>Christensen</t>
  </si>
  <si>
    <t>Nelson</t>
  </si>
  <si>
    <t>Sakellariadou</t>
  </si>
  <si>
    <t>Mairi</t>
  </si>
  <si>
    <t>Cholayil</t>
  </si>
  <si>
    <t>Saleem</t>
  </si>
  <si>
    <t>Romanao</t>
  </si>
  <si>
    <t>Joseph</t>
  </si>
  <si>
    <t>Deputy Editor-in-Chief</t>
  </si>
  <si>
    <t>Deputy</t>
  </si>
  <si>
    <t>Buskulic</t>
  </si>
  <si>
    <t>Damir</t>
  </si>
  <si>
    <t>Jones</t>
  </si>
  <si>
    <t>Areeda</t>
  </si>
  <si>
    <t>Lead</t>
  </si>
  <si>
    <t>Bruntz</t>
  </si>
  <si>
    <t>Robert</t>
  </si>
  <si>
    <t>Deputy Lead</t>
  </si>
  <si>
    <t>Goetz</t>
  </si>
  <si>
    <t>Evan</t>
  </si>
  <si>
    <t>UBC</t>
  </si>
  <si>
    <t>Nguyen</t>
  </si>
  <si>
    <t>Phillippe</t>
  </si>
  <si>
    <t>Schofield</t>
  </si>
  <si>
    <t>Valdes</t>
  </si>
  <si>
    <t>Guillermo</t>
  </si>
  <si>
    <t>Texas A&amp;M</t>
  </si>
  <si>
    <t>Macas</t>
  </si>
  <si>
    <t>Ronaldas</t>
  </si>
  <si>
    <t>Soni</t>
  </si>
  <si>
    <t>Sidd</t>
  </si>
  <si>
    <t>Low-latency DQ Lead Detchar</t>
  </si>
  <si>
    <t>Liaison</t>
  </si>
  <si>
    <t>Trevor</t>
  </si>
  <si>
    <t>Max</t>
  </si>
  <si>
    <t>CW</t>
  </si>
  <si>
    <t>Pham</t>
  </si>
  <si>
    <t>Kiet</t>
  </si>
  <si>
    <t>Stochastic</t>
  </si>
  <si>
    <t>Fisher</t>
  </si>
  <si>
    <t>Ryan</t>
  </si>
  <si>
    <t>GRB/FRB</t>
  </si>
  <si>
    <t>McIver</t>
  </si>
  <si>
    <t>Jess</t>
  </si>
  <si>
    <t>Berger</t>
  </si>
  <si>
    <t>Beverly</t>
  </si>
  <si>
    <t>Stanford</t>
  </si>
  <si>
    <t>Mo</t>
  </si>
  <si>
    <t>Geoffrey</t>
  </si>
  <si>
    <t>no</t>
  </si>
  <si>
    <t>AEI-Hannover-Theory</t>
  </si>
  <si>
    <t>Nuttall</t>
  </si>
  <si>
    <t>Iyer</t>
  </si>
  <si>
    <t>Bala</t>
  </si>
  <si>
    <t>Fairhurst</t>
  </si>
  <si>
    <t>Stephen</t>
  </si>
  <si>
    <t>Milwaukee</t>
  </si>
  <si>
    <t>McClelland</t>
  </si>
  <si>
    <t>Alessandra</t>
  </si>
  <si>
    <t>Smith</t>
  </si>
  <si>
    <t>Josh</t>
  </si>
  <si>
    <t>Rowan</t>
  </si>
  <si>
    <t>Sheila</t>
  </si>
  <si>
    <t>Parameswaran</t>
  </si>
  <si>
    <t>Ajith</t>
  </si>
  <si>
    <t>Indigo</t>
  </si>
  <si>
    <t>Key</t>
  </si>
  <si>
    <t>Joey</t>
  </si>
  <si>
    <t>U. Washington</t>
  </si>
  <si>
    <t>Buonanno</t>
  </si>
  <si>
    <t>Lantz</t>
  </si>
  <si>
    <t>Sintes</t>
  </si>
  <si>
    <t>Alicia</t>
  </si>
  <si>
    <t>Sergey</t>
  </si>
  <si>
    <t>Wette</t>
  </si>
  <si>
    <t>Karl</t>
  </si>
  <si>
    <t>Katsavounidis</t>
  </si>
  <si>
    <t>Erik</t>
  </si>
  <si>
    <t>Shawhan</t>
  </si>
  <si>
    <t>UMaryland</t>
  </si>
  <si>
    <t>Zucker</t>
  </si>
  <si>
    <t>Mike</t>
  </si>
  <si>
    <t>historical</t>
  </si>
  <si>
    <t>Anderson</t>
  </si>
  <si>
    <t>Caltech</t>
  </si>
  <si>
    <t>Finn</t>
  </si>
  <si>
    <t>Sam</t>
  </si>
  <si>
    <t>Saulson</t>
  </si>
  <si>
    <t>Whitcomb</t>
  </si>
  <si>
    <t>Stan</t>
  </si>
  <si>
    <t>Stochastic SWG</t>
  </si>
  <si>
    <t>Reitze</t>
  </si>
  <si>
    <t>Dave</t>
  </si>
  <si>
    <t>david.reitze</t>
  </si>
  <si>
    <t>Giaime</t>
  </si>
  <si>
    <t>joe.giaime</t>
  </si>
  <si>
    <t>Suspensions and Isolation Working Group</t>
  </si>
  <si>
    <t>Compact Binary Coalescence</t>
  </si>
  <si>
    <t>Papa</t>
  </si>
  <si>
    <t>Maria Alessandra</t>
  </si>
  <si>
    <t>Landry</t>
  </si>
  <si>
    <t>Hanford</t>
  </si>
  <si>
    <t>Woan</t>
  </si>
  <si>
    <t>Graham</t>
  </si>
  <si>
    <t>Strain</t>
  </si>
  <si>
    <t>Ken</t>
  </si>
  <si>
    <t>ken.strain</t>
  </si>
  <si>
    <t>Advanced Interferometer Configurations</t>
  </si>
  <si>
    <t>Light Source WG</t>
  </si>
  <si>
    <t>?</t>
  </si>
  <si>
    <t>Chen</t>
  </si>
  <si>
    <t>Yanbei</t>
  </si>
  <si>
    <t>yanbei.chen</t>
  </si>
  <si>
    <t xml:space="preserve">Advanced Interferometer Configurations
</t>
  </si>
  <si>
    <t>Minnesota</t>
  </si>
  <si>
    <t>Robertson</t>
  </si>
  <si>
    <t>Norna</t>
  </si>
  <si>
    <t>norna.robertson</t>
  </si>
  <si>
    <t>Weinstein</t>
  </si>
  <si>
    <t>Alan</t>
  </si>
  <si>
    <t>Georgia</t>
  </si>
  <si>
    <t>Mueller</t>
  </si>
  <si>
    <t>Guido</t>
  </si>
  <si>
    <t>Florida</t>
  </si>
  <si>
    <t>Adhikari</t>
  </si>
  <si>
    <t>Rana</t>
  </si>
  <si>
    <t>Quantum Noise Working Group</t>
  </si>
  <si>
    <t>Gregg</t>
  </si>
  <si>
    <t>gregg.harry</t>
  </si>
  <si>
    <t>American University</t>
  </si>
  <si>
    <t>Thrane</t>
  </si>
  <si>
    <t>Eric</t>
  </si>
  <si>
    <t>Michigan</t>
  </si>
  <si>
    <t>Siong</t>
  </si>
  <si>
    <t>Hanna</t>
  </si>
  <si>
    <t>Chad</t>
  </si>
  <si>
    <t>chad.hanna</t>
  </si>
  <si>
    <t>Carleton College</t>
  </si>
  <si>
    <t>Texas Rio Grande Valley</t>
  </si>
  <si>
    <t>Evans</t>
  </si>
  <si>
    <t>Roman</t>
  </si>
  <si>
    <t>Schnabel</t>
  </si>
  <si>
    <t>Sammut</t>
  </si>
  <si>
    <t>Letizia</t>
  </si>
  <si>
    <t>University of the Balearic Islands</t>
  </si>
  <si>
    <t>brian.lantz</t>
  </si>
  <si>
    <t>Iain</t>
  </si>
  <si>
    <t>iain.martin</t>
  </si>
  <si>
    <t>Veitch</t>
  </si>
  <si>
    <t>john.veitch</t>
  </si>
  <si>
    <t>Coyne</t>
  </si>
  <si>
    <t>Dennis</t>
  </si>
  <si>
    <t>Control Systems Working Group</t>
  </si>
  <si>
    <t>Matas</t>
  </si>
  <si>
    <t>U of BC</t>
  </si>
  <si>
    <t>Creighton</t>
  </si>
  <si>
    <t>Jolien</t>
  </si>
  <si>
    <t>Gustafson</t>
  </si>
  <si>
    <t>eric.gustafson</t>
  </si>
  <si>
    <t>Light Source (Optics)</t>
  </si>
  <si>
    <t>Willke</t>
  </si>
  <si>
    <t>Benno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</si>
</sst>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-&quot;mm&quot;-&quot;dd&quot; &quot;"/>
    <numFmt numFmtId="165" formatCode="yyyy\-mm\-dd"/>
    <numFmt numFmtId="166" formatCode="m/d/yyyy"/>
  </numFmts>
  <fonts count="18">
    <font>
      <sz val="10"/>
      <color rgb="FF000000"/>
      <name val="Arial"/>
      <scheme val="minor"/>
    </font>
    <font>
      <sz val="9"/>
      <color theme="1"/>
      <name val="Arial"/>
      <scheme val="minor"/>
    </font>
    <font>
      <b/>
      <sz val="9"/>
      <color rgb="FF990000"/>
      <name val="Arial"/>
      <scheme val="minor"/>
    </font>
    <font>
      <sz val="9"/>
      <color rgb="FF990000"/>
      <name val="Arial"/>
      <scheme val="minor"/>
    </font>
    <font>
      <sz val="9"/>
      <color rgb="FF000000"/>
      <name val="Arial"/>
      <scheme val="minor"/>
    </font>
    <font>
      <b/>
      <sz val="9"/>
      <color theme="1"/>
      <name val="Arial"/>
      <scheme val="minor"/>
    </font>
    <font>
      <b/>
      <sz val="9"/>
      <color rgb="FF0000FF"/>
      <name val="Arial"/>
      <scheme val="minor"/>
    </font>
    <font>
      <sz val="9"/>
      <color rgb="FF0000FF"/>
      <name val="Arial"/>
      <scheme val="minor"/>
    </font>
    <font>
      <sz val="10"/>
      <color theme="1"/>
      <name val="Arial"/>
      <scheme val="minor"/>
    </font>
    <font>
      <sz val="15"/>
      <color theme="1"/>
      <name val="Sans-serif"/>
    </font>
    <font>
      <b/>
      <sz val="10"/>
      <color theme="1"/>
      <name val="Arial"/>
    </font>
    <font>
      <b/>
      <sz val="10"/>
      <color theme="1"/>
      <name val="Arial"/>
      <scheme val="minor"/>
    </font>
    <font>
      <u/>
      <sz val="10"/>
      <color rgb="FF0000FF"/>
      <name val="Arial"/>
    </font>
    <font>
      <sz val="10"/>
      <color theme="1"/>
      <name val="Arial"/>
    </font>
    <font>
      <sz val="11"/>
      <color rgb="FFF7981D"/>
      <name val="Arial"/>
      <scheme val="minor"/>
    </font>
    <font>
      <sz val="10"/>
      <color rgb="FF000000"/>
      <name val="Arial"/>
      <scheme val="minor"/>
    </font>
    <font>
      <sz val="11"/>
      <color theme="1"/>
      <name val="Sans-serif"/>
    </font>
    <font>
      <sz val="14"/>
      <color theme="1"/>
      <name val="Sans-serif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Alignment="1"/>
    <xf numFmtId="0" fontId="1" fillId="2" borderId="0" xfId="0" applyFont="1" applyFill="1"/>
    <xf numFmtId="0" fontId="7" fillId="0" borderId="0" xfId="0" applyFont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" fillId="0" borderId="0" xfId="0" applyFont="1" applyAlignment="1"/>
    <xf numFmtId="0" fontId="7" fillId="0" borderId="0" xfId="0" applyFont="1" applyAlignment="1">
      <alignment vertical="top" wrapText="1"/>
    </xf>
    <xf numFmtId="0" fontId="8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9" fillId="0" borderId="0" xfId="0" applyFont="1" applyAlignment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" fillId="2" borderId="0" xfId="0" applyFont="1" applyFill="1" applyAlignment="1">
      <alignment horizontal="left"/>
    </xf>
    <xf numFmtId="0" fontId="8" fillId="2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8" fillId="4" borderId="0" xfId="0" applyFont="1" applyFill="1"/>
    <xf numFmtId="0" fontId="1" fillId="4" borderId="0" xfId="0" applyFont="1" applyFill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8" fillId="0" borderId="0" xfId="0" applyFont="1"/>
    <xf numFmtId="0" fontId="13" fillId="0" borderId="0" xfId="0" applyFont="1" applyAlignme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8" fillId="0" borderId="0" xfId="0" applyFont="1" applyAlignment="1"/>
    <xf numFmtId="0" fontId="14" fillId="0" borderId="0" xfId="0" applyFont="1"/>
    <xf numFmtId="165" fontId="13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/>
    <xf numFmtId="0" fontId="8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Alignment="1"/>
    <xf numFmtId="166" fontId="8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4038600" cy="857250"/>
    <xdr:pic>
      <xdr:nvPicPr>
        <xdr:cNvPr id="2" name="image1.gif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/>
  </sheetViews>
  <sheetFormatPr baseColWidth="10" defaultColWidth="12.6640625" defaultRowHeight="15.75" customHeight="1"/>
  <cols>
    <col min="1" max="2" width="12.6640625" customWidth="1"/>
    <col min="3" max="3" width="2.6640625" customWidth="1"/>
    <col min="4" max="4" width="15.1640625" customWidth="1"/>
    <col min="5" max="5" width="12.6640625" customWidth="1"/>
    <col min="6" max="6" width="2.6640625" customWidth="1"/>
    <col min="7" max="8" width="15.1640625" customWidth="1"/>
    <col min="9" max="9" width="2.6640625" customWidth="1"/>
    <col min="10" max="11" width="15.1640625" customWidth="1"/>
    <col min="12" max="12" width="2.6640625" customWidth="1"/>
    <col min="13" max="14" width="15.1640625" customWidth="1"/>
  </cols>
  <sheetData>
    <row r="1" spans="1:26" ht="15.75" customHeight="1">
      <c r="A1" s="1"/>
      <c r="B1" s="1"/>
      <c r="C1" s="1"/>
      <c r="D1" s="1"/>
      <c r="E1" s="1"/>
      <c r="F1" s="1"/>
      <c r="G1" s="58" t="s">
        <v>0</v>
      </c>
      <c r="H1" s="56"/>
      <c r="I1" s="2"/>
      <c r="J1" s="58" t="s">
        <v>1</v>
      </c>
      <c r="K1" s="5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59" t="str">
        <f ca="1">IFERROR(__xludf.DUMMYFUNCTION("QUERY(Current!$A$2:$F1000,""select A where (D='Council' and E='Chair')"")"),"Penn, S [MT]")</f>
        <v>Penn, S [MT]</v>
      </c>
      <c r="H2" s="56"/>
      <c r="I2" s="2"/>
      <c r="J2" s="59" t="str">
        <f ca="1">IFERROR(__xludf.DUMMYFUNCTION("QUERY(Current!$A$2:$F1000,""select A where (D='Ombudsperson' and E='OmbudOne')"")"),"Tanner, D")</f>
        <v>Tanner, D</v>
      </c>
      <c r="K2" s="5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1"/>
      <c r="E3" s="1"/>
      <c r="F3" s="1"/>
      <c r="G3" s="4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58" t="s">
        <v>2</v>
      </c>
      <c r="H4" s="56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"/>
      <c r="G5" s="59" t="str">
        <f ca="1">IFERROR(__xludf.DUMMYFUNCTION("QUERY(Current!$A$2:$G1000,""select A where (D='Spokesperson' and E='Spokesperson')"")"),"Brady, P [MT]")</f>
        <v>Brady, P [MT]</v>
      </c>
      <c r="H5" s="56"/>
      <c r="I5" s="5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6" t="s">
        <v>3</v>
      </c>
      <c r="E7" s="7"/>
      <c r="F7" s="1"/>
      <c r="G7" s="58" t="s">
        <v>4</v>
      </c>
      <c r="H7" s="56"/>
      <c r="I7" s="2"/>
      <c r="J7" s="58" t="s">
        <v>5</v>
      </c>
      <c r="K7" s="5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"/>
      <c r="C8" s="1"/>
      <c r="D8" s="7"/>
      <c r="E8" s="7"/>
      <c r="F8" s="1"/>
      <c r="G8" s="59" t="str">
        <f ca="1">IFERROR(__xludf.DUMMYFUNCTION("QUERY(Current!$A$2:$F1000,""select A where (D='Spokesperson' and E='Spokesperson')"")"),"Brady, P [MT]")</f>
        <v>Brady, P [MT]</v>
      </c>
      <c r="H8" s="56"/>
      <c r="I8" s="2"/>
      <c r="J8" s="3" t="str">
        <f ca="1">IFERROR(__xludf.DUMMYFUNCTION("QUERY(Current!$A$2:$F1000,CONCATENATE(""select A where (D='"",J7,""' and E='Chair')""))"),"Ballmer, S [MT]")</f>
        <v>Ballmer, S [MT]</v>
      </c>
      <c r="K8" s="3" t="str">
        <f ca="1">IFERROR(__xludf.DUMMYFUNCTION("QUERY(Current!$A$2:$F1000,CONCATENATE(""select A where (D='"",J7,""' and E='Deputy Chair')""))"),"Mandic , V")</f>
        <v>Mandic , V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60" t="s">
        <v>6</v>
      </c>
      <c r="B10" s="56"/>
      <c r="C10" s="8"/>
      <c r="D10" s="60" t="s">
        <v>7</v>
      </c>
      <c r="E10" s="56"/>
      <c r="F10" s="8"/>
      <c r="G10" s="60" t="s">
        <v>8</v>
      </c>
      <c r="H10" s="56"/>
      <c r="I10" s="8"/>
      <c r="J10" s="60" t="s">
        <v>9</v>
      </c>
      <c r="K10" s="56"/>
      <c r="L10" s="8"/>
      <c r="M10" s="60" t="s">
        <v>10</v>
      </c>
      <c r="N10" s="5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57" t="str">
        <f ca="1">IFERROR(__xludf.DUMMYFUNCTION("TRANSPOSE(QUERY(Current!$A$2:$F1000,CONCATENATE(""select A where (D='"",A10,""' and E='Chair')"")))"),"Sutton, P [MT]")</f>
        <v>Sutton, P [MT]</v>
      </c>
      <c r="B11" s="56"/>
      <c r="C11" s="1"/>
      <c r="D11" s="57" t="str">
        <f ca="1">IFERROR(__xludf.DUMMYFUNCTION("TRANSPOSE(QUERY(Current!$A$2:$F1000,CONCATENATE(""select A where (D='"",D10,""' and E='Chair')"")))"),"Fritschel, P [MT]")</f>
        <v>Fritschel, P [MT]</v>
      </c>
      <c r="E11" s="56"/>
      <c r="F11" s="1"/>
      <c r="G11" s="57" t="str">
        <f ca="1">IFERROR(__xludf.DUMMYFUNCTION("TRANSPOSE(QUERY(Current!$A$2:$F1000,CONCATENATE(""select A where (D='"",G10,""' and E='Chair')"")))"),"O'Reilly, B [MT]")</f>
        <v>O'Reilly, B [MT]</v>
      </c>
      <c r="H11" s="56"/>
      <c r="I11" s="1"/>
      <c r="J11" s="57" t="str">
        <f ca="1">IFERROR(__xludf.DUMMYFUNCTION("TRANSPOSE(QUERY(Current!$A$2:$F1000,CONCATENATE(""select A where (D='"",J10,""' and E='Chair')"")))"),"Hendry, M [MT]")</f>
        <v>Hendry, M [MT]</v>
      </c>
      <c r="K11" s="56"/>
      <c r="L11" s="1"/>
      <c r="M11" s="57" t="str">
        <f ca="1">IFERROR(__xludf.DUMMYFUNCTION("TRANSPOSE(QUERY(Current!$A$2:$F1000,CONCATENATE(""select A where (D='"",M10,""' and E='Chair')"")))"),"Cadonati, L [MT]")</f>
        <v>Cadonati, L [MT]</v>
      </c>
      <c r="N11" s="5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55" t="s">
        <v>11</v>
      </c>
      <c r="B13" s="56"/>
      <c r="C13" s="1"/>
      <c r="D13" s="55" t="s">
        <v>12</v>
      </c>
      <c r="E13" s="56"/>
      <c r="F13" s="1"/>
      <c r="G13" s="55" t="s">
        <v>13</v>
      </c>
      <c r="H13" s="56"/>
      <c r="I13" s="1"/>
      <c r="J13" s="55" t="s">
        <v>14</v>
      </c>
      <c r="K13" s="56"/>
      <c r="L13" s="1"/>
      <c r="M13" s="55" t="s">
        <v>15</v>
      </c>
      <c r="N13" s="5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9" t="str">
        <f ca="1">IFERROR(__xludf.DUMMYFUNCTION("TRANSPOSE(QUERY(Current!$A$2:$F1000,""select A where (D='Burst WG' and E='Chair')""))"),"Cavaglia, M [MT]")</f>
        <v>Cavaglia, M [MT]</v>
      </c>
      <c r="B14" s="9" t="str">
        <f ca="1">IFERROR(__xludf.DUMMYFUNCTION("""COMPUTED_VALUE"""),"Powell, J")</f>
        <v>Powell, J</v>
      </c>
      <c r="C14" s="1"/>
      <c r="D14" s="57" t="str">
        <f ca="1">IFERROR(__xludf.DUMMYFUNCTION("TRANSPOSE(QUERY(Current!$A$2:$F1000,CONCATENATE(""select A where (D='"",D13,""' and E='Chair')"")))"),"McCuller, L")</f>
        <v>McCuller, L</v>
      </c>
      <c r="E14" s="56"/>
      <c r="F14" s="1"/>
      <c r="G14" s="9" t="str">
        <f ca="1">IFERROR(__xludf.DUMMYFUNCTION("TRANSPOSE(QUERY(Current!$A$2:$F1000,CONCATENATE(""select A where (D='"",G13,""' and E='Chair')"")))"),"Rollins, J")</f>
        <v>Rollins, J</v>
      </c>
      <c r="H14" s="9" t="str">
        <f ca="1">IFERROR(__xludf.DUMMYFUNCTION("""COMPUTED_VALUE"""),"Sun, L")</f>
        <v>Sun, L</v>
      </c>
      <c r="I14" s="1"/>
      <c r="J14" s="9" t="str">
        <f ca="1">IFERROR(__xludf.DUMMYFUNCTION("TRANSPOSE(QUERY(Current!$A$2:$F1000,CONCATENATE(""select A where (D='"",J13,""' and E='Chair')"")))"),"Cominsky, L")</f>
        <v>Cominsky, L</v>
      </c>
      <c r="K14" s="9" t="str">
        <f ca="1">IFERROR(__xludf.DUMMYFUNCTION("""COMPUTED_VALUE"""),"Strunk, A")</f>
        <v>Strunk, A</v>
      </c>
      <c r="L14" s="1"/>
      <c r="M14" s="57" t="str">
        <f ca="1">IFERROR(__xludf.DUMMYFUNCTION("TRANSPOSE(QUERY(Current!$A$2:$F1000,CONCATENATE(""select A where (D='"",M13,""' and E='Chair')"")))"),"Frey, R")</f>
        <v>Frey, R</v>
      </c>
      <c r="N14" s="5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9"/>
      <c r="B15" s="9"/>
      <c r="C15" s="1"/>
      <c r="D15" s="9"/>
      <c r="E15" s="9"/>
      <c r="F15" s="1"/>
      <c r="G15" s="9"/>
      <c r="H15" s="9"/>
      <c r="I15" s="1"/>
      <c r="J15" s="9"/>
      <c r="K15" s="9"/>
      <c r="L15" s="1"/>
      <c r="M15" s="9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55" t="s">
        <v>16</v>
      </c>
      <c r="B16" s="56"/>
      <c r="C16" s="1"/>
      <c r="D16" s="55" t="s">
        <v>17</v>
      </c>
      <c r="E16" s="56"/>
      <c r="F16" s="1"/>
      <c r="G16" s="55" t="s">
        <v>18</v>
      </c>
      <c r="H16" s="56"/>
      <c r="I16" s="1"/>
      <c r="J16" s="55" t="s">
        <v>19</v>
      </c>
      <c r="K16" s="56"/>
      <c r="L16" s="1"/>
      <c r="M16" s="55" t="s">
        <v>20</v>
      </c>
      <c r="N16" s="5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9" t="str">
        <f ca="1">IFERROR(__xludf.DUMMYFUNCTION("TRANSPOSE(QUERY(Current!$A$2:$F1000,""select A where (D='Compact Binaries WG' and E='Chair')""))"),"Ashton, G [MT]")</f>
        <v>Ashton, G [MT]</v>
      </c>
      <c r="B17" s="9" t="str">
        <f ca="1">IFERROR(__xludf.DUMMYFUNCTION("""COMPUTED_VALUE"""),"Sachdev, S")</f>
        <v>Sachdev, S</v>
      </c>
      <c r="C17" s="1"/>
      <c r="D17" s="57" t="str">
        <f ca="1">IFERROR(__xludf.DUMMYFUNCTION("TRANSPOSE(QUERY(Current!$A$2:$F1000,CONCATENATE(""select A where (D='"",D16,""' and E='Chair')"")))"),"Quetschke, V")</f>
        <v>Quetschke, V</v>
      </c>
      <c r="E17" s="56"/>
      <c r="F17" s="1"/>
      <c r="G17" s="9" t="str">
        <f ca="1">IFERROR(__xludf.DUMMYFUNCTION("TRANSPOSE(QUERY(Current!$A$2:$F1000,CONCATENATE(""select A where (D='"",G16,""' and E='Chair')"")))"),"Davis, D")</f>
        <v>Davis, D</v>
      </c>
      <c r="H17" s="9" t="str">
        <f ca="1">IFERROR(__xludf.DUMMYFUNCTION("""COMPUTED_VALUE"""),"Hughey, B [MT]")</f>
        <v>Hughey, B [MT]</v>
      </c>
      <c r="I17" s="1"/>
      <c r="J17" s="9" t="str">
        <f ca="1">IFERROR(__xludf.DUMMYFUNCTION("TRANSPOSE(QUERY(Current!$A$2:$F1000,CONCATENATE(""select A where (D='"",J16,""' and E='Chair')"")))"),"Stuver, A")</f>
        <v>Stuver, A</v>
      </c>
      <c r="K17" s="9"/>
      <c r="L17" s="1"/>
      <c r="M17" s="57" t="str">
        <f ca="1">IFERROR(__xludf.DUMMYFUNCTION("TRANSPOSE(QUERY(Current!$A$2:$F1000,CONCATENATE(""select A where (D='"",M16,""' and E='Chair')"")))"),"Heng, I")</f>
        <v>Heng, I</v>
      </c>
      <c r="N17" s="5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9"/>
      <c r="B18" s="9"/>
      <c r="C18" s="1"/>
      <c r="D18" s="9"/>
      <c r="E18" s="9"/>
      <c r="F18" s="1"/>
      <c r="G18" s="9"/>
      <c r="H18" s="9"/>
      <c r="I18" s="1"/>
      <c r="J18" s="9"/>
      <c r="K18" s="9"/>
      <c r="L18" s="1"/>
      <c r="M18" s="9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55" t="s">
        <v>21</v>
      </c>
      <c r="B19" s="56"/>
      <c r="C19" s="1"/>
      <c r="D19" s="55" t="s">
        <v>22</v>
      </c>
      <c r="E19" s="56"/>
      <c r="F19" s="1"/>
      <c r="G19" s="55" t="s">
        <v>23</v>
      </c>
      <c r="H19" s="56"/>
      <c r="I19" s="1"/>
      <c r="J19" s="55" t="s">
        <v>24</v>
      </c>
      <c r="K19" s="56"/>
      <c r="L19" s="1"/>
      <c r="M19" s="55" t="s">
        <v>25</v>
      </c>
      <c r="N19" s="5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9" t="str">
        <f ca="1">IFERROR(__xludf.DUMMYFUNCTION("TRANSPOSE(QUERY(Current!$A$2:$G1000,""select A where (D='Continuous Waves WG' and E='Chair')""))"),"Pitkin, M [MT]")</f>
        <v>Pitkin, M [MT]</v>
      </c>
      <c r="B20" s="9" t="str">
        <f ca="1">IFERROR(__xludf.DUMMYFUNCTION("""COMPUTED_VALUE"""),"Whelan, J")</f>
        <v>Whelan, J</v>
      </c>
      <c r="C20" s="1"/>
      <c r="D20" s="9" t="str">
        <f ca="1">IFERROR(__xludf.DUMMYFUNCTION("TRANSPOSE(QUERY(Current!$A$2:$F1000,CONCATENATE(""select A where (D='"",D19,""' and E='Chair')"")))"),"Reid, S")</f>
        <v>Reid, S</v>
      </c>
      <c r="E20" s="9" t="str">
        <f ca="1">IFERROR(__xludf.DUMMYFUNCTION("""COMPUTED_VALUE"""),"Steinlechner, J")</f>
        <v>Steinlechner, J</v>
      </c>
      <c r="F20" s="1"/>
      <c r="G20" s="9" t="str">
        <f ca="1">IFERROR(__xludf.DUMMYFUNCTION("TRANSPOSE(QUERY(Current!$A$2:$F1000,CONCATENATE(""select A where (D='"",G19,""' and E='Chair')"")))"),"Ghosh, S")</f>
        <v>Ghosh, S</v>
      </c>
      <c r="H20" s="9"/>
      <c r="I20" s="1"/>
      <c r="J20" s="9" t="str">
        <f ca="1">IFERROR(__xludf.DUMMYFUNCTION("TRANSPOSE(QUERY(Current!$A$2:$F1000,CONCATENATE(""select A where (D='"",J19,""' and E='Chair')"")))"),"Favata, M")</f>
        <v>Favata, M</v>
      </c>
      <c r="K20" s="9"/>
      <c r="L20" s="1"/>
      <c r="M20" s="9" t="str">
        <f ca="1">IFERROR(__xludf.DUMMYFUNCTION("TRANSPOSE(QUERY(Current!$A$2:$F1000,CONCATENATE(""select A where (D='"",M19,""' and E='Chair')"")))"),"Hammond, G")</f>
        <v>Hammond, G</v>
      </c>
      <c r="N20" s="9" t="str">
        <f ca="1">IFERROR(__xludf.DUMMYFUNCTION("""COMPUTED_VALUE"""),"Whelan, J")</f>
        <v>Whelan, J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9"/>
      <c r="B21" s="9"/>
      <c r="C21" s="1"/>
      <c r="D21" s="9"/>
      <c r="E21" s="9"/>
      <c r="F21" s="1"/>
      <c r="G21" s="9"/>
      <c r="H21" s="9"/>
      <c r="I21" s="1"/>
      <c r="J21" s="9"/>
      <c r="K21" s="9"/>
      <c r="L21" s="1"/>
      <c r="M21" s="9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5" t="s">
        <v>26</v>
      </c>
      <c r="B22" s="56"/>
      <c r="C22" s="1"/>
      <c r="D22" s="55" t="s">
        <v>27</v>
      </c>
      <c r="E22" s="56"/>
      <c r="F22" s="1"/>
      <c r="G22" s="55" t="s">
        <v>28</v>
      </c>
      <c r="H22" s="56"/>
      <c r="I22" s="1"/>
      <c r="J22" s="55" t="s">
        <v>29</v>
      </c>
      <c r="K22" s="56"/>
      <c r="L22" s="1"/>
      <c r="M22" s="55" t="s">
        <v>30</v>
      </c>
      <c r="N22" s="5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9" t="str">
        <f ca="1">IFERROR(__xludf.DUMMYFUNCTION("TRANSPOSE(QUERY(Current!$A$2:$F1000,""select A where (D='Stochastic WG' and E='Chair')""))"),"Kandhasamy, S")</f>
        <v>Kandhasamy, S</v>
      </c>
      <c r="B23" s="9" t="str">
        <f ca="1">IFERROR(__xludf.DUMMYFUNCTION("""COMPUTED_VALUE"""),"Mandic , V [MT]")</f>
        <v>Mandic , V [MT]</v>
      </c>
      <c r="C23" s="1"/>
      <c r="D23" s="9" t="str">
        <f ca="1">IFERROR(__xludf.DUMMYFUNCTION("TRANSPOSE(QUERY(Current!$A$2:$F1000,CONCATENATE(""select A where (D='"",D22,""' and E='Chair')"")))"),"Hammond, G")</f>
        <v>Hammond, G</v>
      </c>
      <c r="E23" s="9"/>
      <c r="F23" s="1"/>
      <c r="G23" s="9" t="str">
        <f ca="1">IFERROR(__xludf.DUMMYFUNCTION("TRANSPOSE(QUERY(Current!$A$2:$F1000,CONCATENATE(""select A where (D='"",G22,""' and E='Chair')"")))"),"Shoemaker, D")</f>
        <v>Shoemaker, D</v>
      </c>
      <c r="H23" s="9"/>
      <c r="I23" s="1"/>
      <c r="J23" s="9" t="str">
        <f ca="1">IFERROR(__xludf.DUMMYFUNCTION("TRANSPOSE(QUERY(Current!$A$2:$F1000,CONCATENATE(""select A where (D='"",J22,""' and E contains 'Editor-in-Chief')"")))"),"Green, A [Deputy]")</f>
        <v>Green, A [Deputy]</v>
      </c>
      <c r="K23" s="9" t="str">
        <f ca="1">IFERROR(__xludf.DUMMYFUNCTION("""COMPUTED_VALUE"""),"Middleton, H")</f>
        <v>Middleton, H</v>
      </c>
      <c r="L23" s="1"/>
      <c r="M23" s="9" t="str">
        <f ca="1">IFERROR(__xludf.DUMMYFUNCTION("TRANSPOSE(QUERY(Current!$A$2:$F1000,CONCATENATE(""select A where (D='"",M22,""' and E='Chair')"")))"),"Fulda, P")</f>
        <v>Fulda, P</v>
      </c>
      <c r="N23" s="9" t="str">
        <f ca="1">IFERROR(__xludf.DUMMYFUNCTION("""COMPUTED_VALUE"""),"Ohme, F")</f>
        <v>Ohme, F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9"/>
      <c r="B24" s="9"/>
      <c r="C24" s="1"/>
      <c r="D24" s="9"/>
      <c r="E24" s="9"/>
      <c r="F24" s="1"/>
      <c r="G24" s="9"/>
      <c r="H24" s="9"/>
      <c r="I24" s="1"/>
      <c r="J24" s="9"/>
      <c r="K24" s="9"/>
      <c r="L24" s="1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"/>
      <c r="B25" s="10"/>
      <c r="C25" s="1"/>
      <c r="D25" s="55" t="s">
        <v>31</v>
      </c>
      <c r="E25" s="56"/>
      <c r="F25" s="1"/>
      <c r="G25" s="55" t="s">
        <v>32</v>
      </c>
      <c r="H25" s="56"/>
      <c r="I25" s="1"/>
      <c r="J25" s="55"/>
      <c r="K25" s="56"/>
      <c r="L25" s="1"/>
      <c r="M25" s="55" t="s">
        <v>33</v>
      </c>
      <c r="N25" s="5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9"/>
      <c r="B26" s="9"/>
      <c r="C26" s="1"/>
      <c r="D26" s="9" t="str">
        <f ca="1">IFERROR(__xludf.DUMMYFUNCTION("TRANSPOSE(QUERY(Current!$A$2:$F1000,CONCATENATE(""select A where (D='"",D25,""' and E='Chair')"")))"),"Brown, D")</f>
        <v>Brown, D</v>
      </c>
      <c r="E26" s="9"/>
      <c r="F26" s="1"/>
      <c r="G26" s="9" t="str">
        <f ca="1">IFERROR(__xludf.DUMMYFUNCTION("TRANSPOSE(QUERY(Current!$A$2:$F1000,CONCATENATE(""select A where (D='"",G25,""' and E='Chair')"")))"),"Couvares, P")</f>
        <v>Couvares, P</v>
      </c>
      <c r="H26" s="9" t="str">
        <f ca="1">IFERROR(__xludf.DUMMYFUNCTION("""COMPUTED_VALUE"""),"MacLeod, D [MT]")</f>
        <v>MacLeod, D [MT]</v>
      </c>
      <c r="I26" s="1"/>
      <c r="J26" s="57"/>
      <c r="K26" s="56"/>
      <c r="L26" s="1"/>
      <c r="M26" s="57" t="str">
        <f ca="1">IFERROR(__xludf.DUMMYFUNCTION("TRANSPOSE(QUERY(Current!$A$2:$F1000,CONCATENATE(""select A where (D='"",M25,""' and E='Chair')"")))"),"Gonzalez, G")</f>
        <v>Gonzalez, G</v>
      </c>
      <c r="N26" s="5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9"/>
      <c r="B27" s="9"/>
      <c r="C27" s="1"/>
      <c r="D27" s="9"/>
      <c r="E27" s="9"/>
      <c r="F27" s="1"/>
      <c r="G27" s="9"/>
      <c r="H27" s="9"/>
      <c r="I27" s="1"/>
      <c r="J27" s="9"/>
      <c r="K27" s="9"/>
      <c r="L27" s="1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9"/>
      <c r="B28" s="9"/>
      <c r="C28" s="1"/>
      <c r="D28" s="55" t="s">
        <v>34</v>
      </c>
      <c r="E28" s="56"/>
      <c r="F28" s="1"/>
      <c r="G28" s="55" t="s">
        <v>35</v>
      </c>
      <c r="H28" s="56"/>
      <c r="I28" s="1"/>
      <c r="J28" s="55"/>
      <c r="K28" s="56"/>
      <c r="L28" s="1"/>
      <c r="M28" s="55" t="s">
        <v>36</v>
      </c>
      <c r="N28" s="5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9"/>
      <c r="B29" s="9"/>
      <c r="C29" s="1"/>
      <c r="D29" s="9" t="str">
        <f ca="1">IFERROR(__xludf.DUMMYFUNCTION("TRANSPOSE(QUERY(Current!$A$2:$F1000,CONCATENATE(""select A where (D='"",D28,""' and E='Chair')"")))"),"Vajente, G")</f>
        <v>Vajente, G</v>
      </c>
      <c r="E29" s="9"/>
      <c r="F29" s="1"/>
      <c r="G29" s="9" t="str">
        <f ca="1">IFERROR(__xludf.DUMMYFUNCTION("TRANSPOSE(QUERY(Current!$A$2:$F1000,CONCATENATE(""select A where (D='"",G28,""' and E='Chair')"")))"),"Effler, A")</f>
        <v>Effler, A</v>
      </c>
      <c r="H29" s="9" t="str">
        <f ca="1">IFERROR(__xludf.DUMMYFUNCTION("""COMPUTED_VALUE"""),"Savage, R")</f>
        <v>Savage, R</v>
      </c>
      <c r="I29" s="1"/>
      <c r="J29" s="57"/>
      <c r="K29" s="56"/>
      <c r="L29" s="1"/>
      <c r="M29" s="9" t="str">
        <f ca="1">IFERROR(__xludf.DUMMYFUNCTION("TRANSPOSE(QUERY(Current!$A$2:$F1000,CONCATENATE(""select A where (D='"",M28,""' and E='Chair')"")))"),"O'Shaughnessy, R")</f>
        <v>O'Shaughnessy, R</v>
      </c>
      <c r="N29" s="9" t="str">
        <f ca="1">IFERROR(__xludf.DUMMYFUNCTION("""COMPUTED_VALUE"""),"Riles, K [MT]")</f>
        <v>Riles, K [MT]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9"/>
      <c r="B30" s="9"/>
      <c r="C30" s="1"/>
      <c r="D30" s="9"/>
      <c r="E30" s="9"/>
      <c r="F30" s="1"/>
      <c r="G30" s="9"/>
      <c r="H30" s="9"/>
      <c r="I30" s="1"/>
      <c r="J30" s="9"/>
      <c r="K30" s="9"/>
      <c r="L30" s="1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9"/>
      <c r="B31" s="9"/>
      <c r="C31" s="1"/>
      <c r="D31" s="9"/>
      <c r="E31" s="9"/>
      <c r="F31" s="1"/>
      <c r="G31" s="55" t="s">
        <v>37</v>
      </c>
      <c r="H31" s="56"/>
      <c r="I31" s="1"/>
      <c r="J31" s="9"/>
      <c r="K31" s="9"/>
      <c r="L31" s="1"/>
      <c r="M31" s="55" t="s">
        <v>38</v>
      </c>
      <c r="N31" s="5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9"/>
      <c r="B32" s="9"/>
      <c r="C32" s="1"/>
      <c r="D32" s="9"/>
      <c r="E32" s="9"/>
      <c r="F32" s="1"/>
      <c r="G32" s="9" t="str">
        <f ca="1">IFERROR(__xludf.DUMMYFUNCTION("TRANSPOSE(QUERY(Current!$A$2:$F1000,CONCATENATE(""select A where (D='"",G31,""' and E='Chair')"")))"),"Kanner, J")</f>
        <v>Kanner, J</v>
      </c>
      <c r="H32" s="9"/>
      <c r="I32" s="1"/>
      <c r="J32" s="9"/>
      <c r="K32" s="9"/>
      <c r="L32" s="1"/>
      <c r="M32" s="57" t="str">
        <f ca="1">IFERROR(__xludf.DUMMYFUNCTION("TRANSPOSE(QUERY(Current!$A$2:$F1000,CONCATENATE(""select A where (D='"",M31,""' and E='Chair')"")))"),"Bailes, M")</f>
        <v>Bailes, M</v>
      </c>
      <c r="N32" s="5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7">
    <mergeCell ref="J28:K28"/>
    <mergeCell ref="J29:K29"/>
    <mergeCell ref="G31:H31"/>
    <mergeCell ref="M31:N31"/>
    <mergeCell ref="M32:N32"/>
    <mergeCell ref="M19:N19"/>
    <mergeCell ref="D10:E10"/>
    <mergeCell ref="D11:E11"/>
    <mergeCell ref="A13:B13"/>
    <mergeCell ref="D13:E13"/>
    <mergeCell ref="G13:H13"/>
    <mergeCell ref="D14:E14"/>
    <mergeCell ref="D17:E17"/>
    <mergeCell ref="A16:B16"/>
    <mergeCell ref="A19:B19"/>
    <mergeCell ref="D19:E19"/>
    <mergeCell ref="G19:H19"/>
    <mergeCell ref="J19:K19"/>
    <mergeCell ref="D16:E16"/>
    <mergeCell ref="G16:H16"/>
    <mergeCell ref="J16:K16"/>
    <mergeCell ref="M16:N16"/>
    <mergeCell ref="M17:N17"/>
    <mergeCell ref="G8:H8"/>
    <mergeCell ref="A10:B10"/>
    <mergeCell ref="G10:H10"/>
    <mergeCell ref="M10:N10"/>
    <mergeCell ref="A11:B11"/>
    <mergeCell ref="G11:H11"/>
    <mergeCell ref="M11:N11"/>
    <mergeCell ref="D28:E28"/>
    <mergeCell ref="G28:H28"/>
    <mergeCell ref="M28:N28"/>
    <mergeCell ref="G1:H1"/>
    <mergeCell ref="J1:K1"/>
    <mergeCell ref="G2:H2"/>
    <mergeCell ref="J2:K2"/>
    <mergeCell ref="G4:H4"/>
    <mergeCell ref="G5:H5"/>
    <mergeCell ref="J7:K7"/>
    <mergeCell ref="J10:K10"/>
    <mergeCell ref="J11:K11"/>
    <mergeCell ref="J13:K13"/>
    <mergeCell ref="M13:N13"/>
    <mergeCell ref="M14:N14"/>
    <mergeCell ref="G7:H7"/>
    <mergeCell ref="D25:E25"/>
    <mergeCell ref="G25:H25"/>
    <mergeCell ref="J25:K25"/>
    <mergeCell ref="M25:N25"/>
    <mergeCell ref="J26:K26"/>
    <mergeCell ref="M26:N26"/>
    <mergeCell ref="A22:B22"/>
    <mergeCell ref="D22:E22"/>
    <mergeCell ref="G22:H22"/>
    <mergeCell ref="J22:K22"/>
    <mergeCell ref="M22:N22"/>
  </mergeCells>
  <printOptions horizontalCentered="1" gridLines="1"/>
  <pageMargins left="0.25" right="0.25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37"/>
  <sheetViews>
    <sheetView workbookViewId="0"/>
  </sheetViews>
  <sheetFormatPr baseColWidth="10" defaultColWidth="12.6640625" defaultRowHeight="15.75" customHeight="1"/>
  <cols>
    <col min="1" max="2" width="15.1640625" customWidth="1"/>
    <col min="3" max="3" width="4.1640625" customWidth="1"/>
    <col min="4" max="5" width="15.1640625" customWidth="1"/>
    <col min="6" max="6" width="4.1640625" customWidth="1"/>
    <col min="7" max="8" width="15.1640625" customWidth="1"/>
    <col min="9" max="9" width="4.1640625" customWidth="1"/>
    <col min="10" max="11" width="15.1640625" customWidth="1"/>
    <col min="12" max="12" width="4.1640625" customWidth="1"/>
  </cols>
  <sheetData>
    <row r="1" spans="1:20" ht="15.75" customHeight="1">
      <c r="A1" s="61" t="s">
        <v>11</v>
      </c>
      <c r="B1" s="56"/>
      <c r="C1" s="12"/>
      <c r="D1" s="61" t="s">
        <v>16</v>
      </c>
      <c r="E1" s="56"/>
      <c r="F1" s="12"/>
      <c r="G1" s="61" t="s">
        <v>21</v>
      </c>
      <c r="H1" s="56"/>
      <c r="I1" s="12"/>
      <c r="J1" s="61" t="s">
        <v>26</v>
      </c>
      <c r="K1" s="56"/>
      <c r="N1" s="13"/>
      <c r="P1" s="13"/>
      <c r="Q1" s="13"/>
      <c r="S1" s="13"/>
      <c r="T1" s="13"/>
    </row>
    <row r="2" spans="1:20" ht="15.75" customHeight="1">
      <c r="A2" s="7" t="str">
        <f ca="1">IFERROR(__xludf.DUMMYFUNCTION("TRANSPOSE(QUERY(Current!$A$2:$F1018,CONCATENATE(""select A where (D='"",A1,""' and E='Chair')"")))"),"Cavaglia, M [MT]")</f>
        <v>Cavaglia, M [MT]</v>
      </c>
      <c r="B2" s="9" t="str">
        <f ca="1">IFERROR(__xludf.DUMMYFUNCTION("""COMPUTED_VALUE"""),"Powell, J")</f>
        <v>Powell, J</v>
      </c>
      <c r="C2" s="1"/>
      <c r="D2" s="7" t="str">
        <f ca="1">IFERROR(__xludf.DUMMYFUNCTION("TRANSPOSE(QUERY(Current!$A$2:$F1018,CONCATENATE(""select A where (D='"",D1,""' and E='Chair')"")))"),"Ashton, G [MT]")</f>
        <v>Ashton, G [MT]</v>
      </c>
      <c r="E2" s="9" t="str">
        <f ca="1">IFERROR(__xludf.DUMMYFUNCTION("""COMPUTED_VALUE"""),"Sachdev, S")</f>
        <v>Sachdev, S</v>
      </c>
      <c r="F2" s="1"/>
      <c r="G2" s="7" t="str">
        <f ca="1">IFERROR(__xludf.DUMMYFUNCTION("TRANSPOSE(QUERY(Current!$A$2:$F1018,CONCATENATE(""select A where (D='"",G1,""' and E='Chair')"")))"),"Pitkin, M [MT]")</f>
        <v>Pitkin, M [MT]</v>
      </c>
      <c r="H2" s="9" t="str">
        <f ca="1">IFERROR(__xludf.DUMMYFUNCTION("""COMPUTED_VALUE"""),"Whelan, J")</f>
        <v>Whelan, J</v>
      </c>
      <c r="I2" s="1"/>
      <c r="J2" s="7" t="str">
        <f ca="1">IFERROR(__xludf.DUMMYFUNCTION("TRANSPOSE(QUERY(Current!$A$2:$F1018,CONCATENATE(""select A where (D='"",J1,""' and E='Chair')"")))"),"Kandhasamy, S")</f>
        <v>Kandhasamy, S</v>
      </c>
      <c r="K2" s="9" t="str">
        <f ca="1">IFERROR(__xludf.DUMMYFUNCTION("""COMPUTED_VALUE"""),"Mandic , V [MT]")</f>
        <v>Mandic , V [MT]</v>
      </c>
    </row>
    <row r="3" spans="1:20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0" ht="15.75" customHeight="1">
      <c r="A4" s="62" t="s">
        <v>39</v>
      </c>
      <c r="B4" s="56"/>
      <c r="C4" s="14"/>
      <c r="D4" s="62" t="s">
        <v>40</v>
      </c>
      <c r="E4" s="56"/>
      <c r="F4" s="14"/>
      <c r="G4" s="63" t="s">
        <v>41</v>
      </c>
      <c r="H4" s="56"/>
      <c r="I4" s="14"/>
      <c r="J4" s="62" t="s">
        <v>42</v>
      </c>
      <c r="K4" s="56"/>
      <c r="N4" s="13"/>
    </row>
    <row r="5" spans="1:20" ht="15.75" customHeight="1">
      <c r="A5" s="15" t="str">
        <f ca="1">IFERROR(__xludf.DUMMYFUNCTION("(QUERY(Current!$A$2:$F1018,CONCATENATE(""select A where (D='"",A4,""' and E='Chair')"")))"),"Prodi, G")</f>
        <v>Prodi, G</v>
      </c>
      <c r="B5" s="15"/>
      <c r="C5" s="14"/>
      <c r="D5" s="15" t="str">
        <f ca="1">IFERROR(__xludf.DUMMYFUNCTION("(QUERY(Current!$A$2:$F1018,CONCATENATE(""select A where (D='"",D4,""' and E='Chair')"")))"),"Schmidt, P")</f>
        <v>Schmidt, P</v>
      </c>
      <c r="E5" s="16"/>
      <c r="F5" s="14"/>
      <c r="G5" s="15"/>
      <c r="H5" s="15"/>
      <c r="I5" s="14"/>
      <c r="J5" s="15" t="str">
        <f ca="1">IFERROR(__xludf.DUMMYFUNCTION("(QUERY(Current!$A$2:$F1018,CONCATENATE(""select A where (D='"",J4,""' and E='Chair')"")))"),"Renzini, A")</f>
        <v>Renzini, A</v>
      </c>
      <c r="K5" s="15"/>
    </row>
    <row r="6" spans="1:20" ht="15.75" customHeight="1">
      <c r="A6" s="15" t="str">
        <f ca="1">IFERROR(__xludf.DUMMYFUNCTION("""COMPUTED_VALUE"""),"Szczepanczyk, M")</f>
        <v>Szczepanczyk, M</v>
      </c>
      <c r="B6" s="15"/>
      <c r="C6" s="14"/>
      <c r="D6" s="15" t="str">
        <f ca="1">IFERROR(__xludf.DUMMYFUNCTION("""COMPUTED_VALUE"""),"Talbot, C")</f>
        <v>Talbot, C</v>
      </c>
      <c r="E6" s="15"/>
      <c r="F6" s="14"/>
      <c r="G6" s="15"/>
      <c r="H6" s="15"/>
      <c r="I6" s="14"/>
      <c r="J6" s="15" t="str">
        <f ca="1">IFERROR(__xludf.DUMMYFUNCTION("""COMPUTED_VALUE"""),"Romero, A")</f>
        <v>Romero, A</v>
      </c>
      <c r="K6" s="15"/>
    </row>
    <row r="7" spans="1:20" ht="15.75" customHeight="1">
      <c r="A7" s="15"/>
      <c r="B7" s="16"/>
      <c r="C7" s="14"/>
      <c r="D7" s="15" t="str">
        <f ca="1">IFERROR(__xludf.DUMMYFUNCTION("""COMPUTED_VALUE"""),"Zimmerman, A")</f>
        <v>Zimmerman, A</v>
      </c>
      <c r="E7" s="15"/>
      <c r="F7" s="14"/>
      <c r="G7" s="15"/>
      <c r="H7" s="16"/>
      <c r="I7" s="14"/>
      <c r="J7" s="15"/>
      <c r="K7" s="16"/>
      <c r="M7" s="13"/>
      <c r="N7" s="13"/>
      <c r="P7" s="13"/>
      <c r="Q7" s="13"/>
      <c r="S7" s="13"/>
      <c r="T7" s="13"/>
    </row>
    <row r="8" spans="1:20" ht="15.75" customHeight="1">
      <c r="A8" s="16"/>
      <c r="B8" s="15"/>
      <c r="C8" s="14"/>
      <c r="D8" s="16"/>
      <c r="E8" s="16"/>
      <c r="F8" s="14"/>
      <c r="G8" s="16"/>
      <c r="H8" s="15"/>
      <c r="I8" s="14"/>
      <c r="J8" s="16"/>
      <c r="K8" s="15"/>
    </row>
    <row r="9" spans="1:20" ht="15.75" customHeight="1">
      <c r="A9" s="62" t="s">
        <v>39</v>
      </c>
      <c r="B9" s="56"/>
      <c r="C9" s="14"/>
      <c r="D9" s="62" t="s">
        <v>43</v>
      </c>
      <c r="E9" s="56"/>
      <c r="F9" s="14"/>
      <c r="G9" s="63"/>
      <c r="H9" s="56"/>
      <c r="I9" s="14"/>
      <c r="J9" s="62" t="s">
        <v>44</v>
      </c>
      <c r="K9" s="56"/>
    </row>
    <row r="10" spans="1:20" ht="15.75" customHeight="1">
      <c r="A10" s="15" t="str">
        <f ca="1">IFERROR(__xludf.DUMMYFUNCTION("(QUERY(Current!$A$2:$F1018,CONCATENATE(""select A where (D='"",A9,""' and E='Chair')"")))"),"Prodi, G")</f>
        <v>Prodi, G</v>
      </c>
      <c r="B10" s="16"/>
      <c r="C10" s="14"/>
      <c r="D10" s="15" t="str">
        <f ca="1">IFERROR(__xludf.DUMMYFUNCTION("(QUERY(Current!$A$2:$F1018,CONCATENATE(""select A where (D='"",D9,""' and E='Chair')"")))"),"Harry, I [CBC]")</f>
        <v>Harry, I [CBC]</v>
      </c>
      <c r="E10" s="15"/>
      <c r="F10" s="14"/>
      <c r="G10" s="15"/>
      <c r="H10" s="16"/>
      <c r="I10" s="14"/>
      <c r="J10" s="15" t="str">
        <f ca="1">IFERROR(__xludf.DUMMYFUNCTION("(QUERY(Current!$A$2:$F1018,CONCATENATE(""select A where (D='"",J9,""' and E='Chair')"")))"),"Suresh, J")</f>
        <v>Suresh, J</v>
      </c>
      <c r="K10" s="16"/>
      <c r="M10" s="13"/>
      <c r="N10" s="13"/>
      <c r="P10" s="13"/>
      <c r="Q10" s="13"/>
      <c r="S10" s="13"/>
      <c r="T10" s="13"/>
    </row>
    <row r="11" spans="1:20" ht="15.75" customHeight="1">
      <c r="A11" s="16" t="str">
        <f ca="1">IFERROR(__xludf.DUMMYFUNCTION("""COMPUTED_VALUE"""),"Szczepanczyk, M")</f>
        <v>Szczepanczyk, M</v>
      </c>
      <c r="B11" s="15"/>
      <c r="C11" s="14"/>
      <c r="D11" s="16" t="str">
        <f ca="1">IFERROR(__xludf.DUMMYFUNCTION("""COMPUTED_VALUE"""),"Milotti, E [Burst]")</f>
        <v>Milotti, E [Burst]</v>
      </c>
      <c r="E11" s="16"/>
      <c r="F11" s="14"/>
      <c r="G11" s="16"/>
      <c r="H11" s="15"/>
      <c r="I11" s="14"/>
      <c r="J11" s="16" t="str">
        <f ca="1">IFERROR(__xludf.DUMMYFUNCTION("""COMPUTED_VALUE"""),"Tsukada, L")</f>
        <v>Tsukada, L</v>
      </c>
      <c r="K11" s="15"/>
    </row>
    <row r="12" spans="1:20" ht="15.75" customHeight="1">
      <c r="A12" s="15"/>
      <c r="B12" s="15"/>
      <c r="C12" s="14"/>
      <c r="D12" s="15" t="str">
        <f ca="1">IFERROR(__xludf.DUMMYFUNCTION("""COMPUTED_VALUE"""),"Sordini, V [CBC]")</f>
        <v>Sordini, V [CBC]</v>
      </c>
      <c r="E12" s="15"/>
      <c r="F12" s="14"/>
      <c r="G12" s="15"/>
      <c r="H12" s="15"/>
      <c r="I12" s="14"/>
      <c r="J12" s="15"/>
      <c r="K12" s="15"/>
    </row>
    <row r="13" spans="1:20">
      <c r="A13" s="16"/>
      <c r="B13" s="16"/>
      <c r="C13" s="14"/>
      <c r="D13" s="16"/>
      <c r="E13" s="16"/>
      <c r="F13" s="14"/>
      <c r="G13" s="16"/>
      <c r="H13" s="16"/>
      <c r="I13" s="14"/>
      <c r="J13" s="16"/>
      <c r="K13" s="16"/>
      <c r="M13" s="13"/>
      <c r="N13" s="17"/>
      <c r="P13" s="13"/>
      <c r="Q13" s="13"/>
      <c r="S13" s="13"/>
      <c r="T13" s="13"/>
    </row>
    <row r="14" spans="1:20">
      <c r="A14" s="62" t="s">
        <v>45</v>
      </c>
      <c r="B14" s="56"/>
      <c r="C14" s="14"/>
      <c r="D14" s="62" t="s">
        <v>46</v>
      </c>
      <c r="E14" s="56"/>
      <c r="F14" s="14"/>
      <c r="G14" s="63"/>
      <c r="H14" s="56"/>
      <c r="I14" s="14"/>
      <c r="J14" s="62" t="s">
        <v>47</v>
      </c>
      <c r="K14" s="56"/>
      <c r="M14" s="13"/>
      <c r="N14" s="17"/>
      <c r="P14" s="13"/>
      <c r="Q14" s="13"/>
      <c r="S14" s="13"/>
      <c r="T14" s="13"/>
    </row>
    <row r="15" spans="1:20">
      <c r="A15" s="15" t="str">
        <f ca="1">IFERROR(__xludf.DUMMYFUNCTION("(QUERY(Current!$A$2:$F1018,CONCATENATE(""select A where (D='"",A14,""' and E='Chair')"")))"),"Gayathri, V")</f>
        <v>Gayathri, V</v>
      </c>
      <c r="B15" s="16"/>
      <c r="C15" s="14"/>
      <c r="D15" s="15" t="str">
        <f ca="1">IFERROR(__xludf.DUMMYFUNCTION("(QUERY(Current!$A$2:$F1018,CONCATENATE(""select A where (D='"",D14,""' and E='Chair')"")))"),"Gair, J")</f>
        <v>Gair, J</v>
      </c>
      <c r="E15" s="18"/>
      <c r="F15" s="14"/>
      <c r="G15" s="15"/>
      <c r="H15" s="16"/>
      <c r="I15" s="14"/>
      <c r="J15" s="15" t="str">
        <f ca="1">IFERROR(__xludf.DUMMYFUNCTION("(QUERY(Current!$A$2:$F1018,CONCATENATE(""select A where (D='"",J14,""' and E='Chair')"")))"),"Charlton, P")</f>
        <v>Charlton, P</v>
      </c>
      <c r="K15" s="16"/>
      <c r="M15" s="13"/>
      <c r="N15" s="17"/>
      <c r="P15" s="13"/>
      <c r="Q15" s="13"/>
      <c r="S15" s="13"/>
      <c r="T15" s="13"/>
    </row>
    <row r="16" spans="1:20">
      <c r="A16" s="16"/>
      <c r="B16" s="16"/>
      <c r="C16" s="14"/>
      <c r="D16" s="16" t="str">
        <f ca="1">IFERROR(__xludf.DUMMYFUNCTION("""COMPUTED_VALUE"""),"Tamanini, N")</f>
        <v>Tamanini, N</v>
      </c>
      <c r="E16" s="16"/>
      <c r="F16" s="14"/>
      <c r="G16" s="16"/>
      <c r="H16" s="16"/>
      <c r="I16" s="14"/>
      <c r="J16" s="16" t="str">
        <f ca="1">IFERROR(__xludf.DUMMYFUNCTION("""COMPUTED_VALUE"""),"Janssens, K")</f>
        <v>Janssens, K</v>
      </c>
      <c r="K16" s="16"/>
      <c r="M16" s="13"/>
      <c r="N16" s="17"/>
      <c r="P16" s="13"/>
      <c r="Q16" s="13"/>
      <c r="S16" s="13"/>
      <c r="T16" s="13"/>
    </row>
    <row r="17" spans="1:20">
      <c r="A17" s="16"/>
      <c r="B17" s="16"/>
      <c r="C17" s="14"/>
      <c r="D17" s="16"/>
      <c r="E17" s="16"/>
      <c r="F17" s="14"/>
      <c r="G17" s="16"/>
      <c r="H17" s="16"/>
      <c r="I17" s="14"/>
      <c r="J17" s="16"/>
      <c r="K17" s="16"/>
      <c r="M17" s="13"/>
      <c r="N17" s="17"/>
      <c r="P17" s="13"/>
      <c r="Q17" s="13"/>
      <c r="S17" s="13"/>
      <c r="T17" s="13"/>
    </row>
    <row r="18" spans="1:20">
      <c r="A18" s="62" t="s">
        <v>48</v>
      </c>
      <c r="B18" s="56"/>
      <c r="C18" s="14"/>
      <c r="D18" s="64" t="s">
        <v>49</v>
      </c>
      <c r="E18" s="56"/>
      <c r="F18" s="14"/>
      <c r="G18" s="63"/>
      <c r="H18" s="56"/>
      <c r="I18" s="14"/>
      <c r="J18" s="62" t="s">
        <v>50</v>
      </c>
      <c r="K18" s="56"/>
      <c r="M18" s="13"/>
      <c r="N18" s="17"/>
      <c r="P18" s="13"/>
      <c r="Q18" s="13"/>
      <c r="S18" s="13"/>
      <c r="T18" s="13"/>
    </row>
    <row r="19" spans="1:20">
      <c r="A19" s="15" t="str">
        <f ca="1">IFERROR(__xludf.DUMMYFUNCTION("(QUERY(Current!$A$2:$F1018,CONCATENATE(""select A where (D='"",A18,""' and E='Chair')"")))"),"Bizouard, M")</f>
        <v>Bizouard, M</v>
      </c>
      <c r="B19" s="16"/>
      <c r="C19" s="14"/>
      <c r="D19" s="15" t="str">
        <f ca="1">IFERROR(__xludf.DUMMYFUNCTION("(QUERY(Current!$A$2:$F1018,CONCATENATE(""select A where (D='"",D18,""' and E='Chair')"")))"),"Dietrich, T")</f>
        <v>Dietrich, T</v>
      </c>
      <c r="E19" s="16"/>
      <c r="F19" s="14"/>
      <c r="G19" s="15"/>
      <c r="H19" s="16"/>
      <c r="I19" s="14"/>
      <c r="J19" s="15" t="str">
        <f ca="1">IFERROR(__xludf.DUMMYFUNCTION("(QUERY(Current!$A$2:$F1018,CONCATENATE(""select A where (D='"",J18,""' and E='Chair')"")))"),"Renzini, A")</f>
        <v>Renzini, A</v>
      </c>
      <c r="K19" s="16"/>
      <c r="M19" s="13"/>
      <c r="N19" s="17"/>
      <c r="P19" s="13"/>
      <c r="Q19" s="13"/>
      <c r="S19" s="13"/>
      <c r="T19" s="13"/>
    </row>
    <row r="20" spans="1:20">
      <c r="A20" s="16" t="str">
        <f ca="1">IFERROR(__xludf.DUMMYFUNCTION("""COMPUTED_VALUE"""),"Powell, J")</f>
        <v>Powell, J</v>
      </c>
      <c r="B20" s="16"/>
      <c r="C20" s="14"/>
      <c r="D20" s="16" t="str">
        <f ca="1">IFERROR(__xludf.DUMMYFUNCTION("""COMPUTED_VALUE"""),"Read , J")</f>
        <v>Read , J</v>
      </c>
      <c r="E20" s="16"/>
      <c r="F20" s="14"/>
      <c r="G20" s="16"/>
      <c r="H20" s="16"/>
      <c r="I20" s="14"/>
      <c r="J20" s="16" t="str">
        <f ca="1">IFERROR(__xludf.DUMMYFUNCTION("""COMPUTED_VALUE"""),"Romero, A")</f>
        <v>Romero, A</v>
      </c>
      <c r="K20" s="16"/>
      <c r="M20" s="13"/>
      <c r="N20" s="17"/>
      <c r="P20" s="13"/>
      <c r="Q20" s="13"/>
      <c r="S20" s="13"/>
      <c r="T20" s="13"/>
    </row>
    <row r="21" spans="1:20">
      <c r="A21" s="16"/>
      <c r="B21" s="16"/>
      <c r="C21" s="14"/>
      <c r="D21" s="16"/>
      <c r="E21" s="16"/>
      <c r="F21" s="14"/>
      <c r="G21" s="16"/>
      <c r="H21" s="16"/>
      <c r="I21" s="14"/>
      <c r="J21" s="16"/>
      <c r="K21" s="16"/>
      <c r="M21" s="13"/>
      <c r="N21" s="17"/>
      <c r="P21" s="13"/>
      <c r="Q21" s="13"/>
      <c r="S21" s="13"/>
      <c r="T21" s="13"/>
    </row>
    <row r="22" spans="1:20" ht="15.75" customHeight="1">
      <c r="A22" s="62" t="s">
        <v>51</v>
      </c>
      <c r="B22" s="56"/>
      <c r="C22" s="14"/>
      <c r="D22" s="62" t="s">
        <v>52</v>
      </c>
      <c r="E22" s="56"/>
      <c r="F22" s="14"/>
      <c r="G22" s="63"/>
      <c r="H22" s="56"/>
      <c r="I22" s="14"/>
      <c r="J22" s="62" t="s">
        <v>53</v>
      </c>
      <c r="K22" s="56"/>
    </row>
    <row r="23" spans="1:20">
      <c r="A23" s="15" t="str">
        <f ca="1">IFERROR(__xludf.DUMMYFUNCTION("(QUERY(Current!$A$2:$F1018,CONCATENATE(""select A where (D='"",A22,""' and E='Chair')"")))"),"Becsy, B [BayesWave]")</f>
        <v>Becsy, B [BayesWave]</v>
      </c>
      <c r="B23" s="15"/>
      <c r="C23" s="14"/>
      <c r="D23" s="15" t="str">
        <f ca="1">IFERROR(__xludf.DUMMYFUNCTION("(QUERY(Current!$A$2:$F1018,CONCATENATE(""select A where (D='"",D22,""' and E='Chair')"")))"),"Dent, T")</f>
        <v>Dent, T</v>
      </c>
      <c r="E23" s="15"/>
      <c r="F23" s="14"/>
      <c r="G23" s="15"/>
      <c r="H23" s="15"/>
      <c r="I23" s="14"/>
      <c r="J23" s="15" t="str">
        <f ca="1">IFERROR(__xludf.DUMMYFUNCTION("(QUERY(Current!$A$2:$F1018,CONCATENATE(""select A where (D='"",J22,""' and E='Chair')"")))"),"Christensen, N")</f>
        <v>Christensen, N</v>
      </c>
      <c r="K23" s="15"/>
      <c r="N23" s="17"/>
    </row>
    <row r="24" spans="1:20" ht="15.75" customHeight="1">
      <c r="A24" s="16" t="str">
        <f ca="1">IFERROR(__xludf.DUMMYFUNCTION("""COMPUTED_VALUE"""),"Corsi, A [CocoA]")</f>
        <v>Corsi, A [CocoA]</v>
      </c>
      <c r="B24" s="16"/>
      <c r="C24" s="14"/>
      <c r="D24" s="16" t="str">
        <f ca="1">IFERROR(__xludf.DUMMYFUNCTION("""COMPUTED_VALUE"""),"Doctor, Z")</f>
        <v>Doctor, Z</v>
      </c>
      <c r="E24" s="16"/>
      <c r="F24" s="14"/>
      <c r="G24" s="16"/>
      <c r="H24" s="16"/>
      <c r="I24" s="14"/>
      <c r="J24" s="16" t="str">
        <f ca="1">IFERROR(__xludf.DUMMYFUNCTION("""COMPUTED_VALUE"""),"Sakellariadou, M")</f>
        <v>Sakellariadou, M</v>
      </c>
      <c r="K24" s="16"/>
      <c r="M24" s="13"/>
      <c r="N24" s="13"/>
      <c r="P24" s="13"/>
      <c r="Q24" s="13"/>
      <c r="S24" s="13"/>
      <c r="T24" s="13"/>
    </row>
    <row r="25" spans="1:20" ht="15.75" customHeight="1">
      <c r="A25" s="16" t="str">
        <f ca="1">IFERROR(__xludf.DUMMYFUNCTION("""COMPUTED_VALUE"""),"Klimenko, S [cWB]")</f>
        <v>Klimenko, S [cWB]</v>
      </c>
      <c r="B25" s="16"/>
      <c r="C25" s="14"/>
      <c r="D25" s="16"/>
      <c r="E25" s="16"/>
      <c r="F25" s="14"/>
      <c r="G25" s="16"/>
      <c r="H25" s="16"/>
      <c r="I25" s="14"/>
      <c r="J25" s="16"/>
      <c r="K25" s="16"/>
      <c r="M25" s="13"/>
      <c r="N25" s="13"/>
      <c r="P25" s="13"/>
      <c r="Q25" s="13"/>
      <c r="S25" s="13"/>
      <c r="T25" s="13"/>
    </row>
    <row r="26" spans="1:20" ht="15.75" customHeight="1">
      <c r="A26" s="19" t="str">
        <f ca="1">IFERROR(__xludf.DUMMYFUNCTION("""COMPUTED_VALUE"""),"Macquet, A [STAMP-AS]")</f>
        <v>Macquet, A [STAMP-AS]</v>
      </c>
      <c r="B26" s="20"/>
      <c r="C26" s="14"/>
      <c r="D26" s="62" t="s">
        <v>54</v>
      </c>
      <c r="E26" s="56"/>
      <c r="F26" s="14"/>
      <c r="G26" s="63"/>
      <c r="H26" s="56"/>
      <c r="I26" s="14"/>
      <c r="J26" s="62" t="s">
        <v>55</v>
      </c>
      <c r="K26" s="56"/>
      <c r="M26" s="13"/>
      <c r="N26" s="13"/>
      <c r="P26" s="13"/>
      <c r="Q26" s="13"/>
      <c r="S26" s="13"/>
      <c r="T26" s="13"/>
    </row>
    <row r="27" spans="1:20" ht="15.75" customHeight="1">
      <c r="A27" s="15" t="str">
        <f ca="1">IFERROR(__xludf.DUMMYFUNCTION("""COMPUTED_VALUE"""),"Marka, Z [LLAMA]")</f>
        <v>Marka, Z [LLAMA]</v>
      </c>
      <c r="B27" s="16"/>
      <c r="C27" s="14"/>
      <c r="D27" s="15" t="str">
        <f ca="1">IFERROR(__xludf.DUMMYFUNCTION("(QUERY(Current!$A$2:$F1018,CONCATENATE(""select A where (D='"",D26,""' and E='Chair')"")))"),"Agathos, M")</f>
        <v>Agathos, M</v>
      </c>
      <c r="E27" s="16"/>
      <c r="F27" s="14"/>
      <c r="G27" s="15"/>
      <c r="H27" s="16"/>
      <c r="I27" s="14"/>
      <c r="J27" s="15" t="str">
        <f ca="1">IFERROR(__xludf.DUMMYFUNCTION("(QUERY(Current!$A$2:$F1018,CONCATENATE(""select A where (D='"",J26,""' and E='Chair')"")))"),"Cholayil, S")</f>
        <v>Cholayil, S</v>
      </c>
      <c r="K27" s="16"/>
      <c r="M27" s="13"/>
      <c r="N27" s="13"/>
      <c r="P27" s="13"/>
      <c r="Q27" s="13"/>
      <c r="S27" s="13"/>
      <c r="T27" s="13"/>
    </row>
    <row r="28" spans="1:20" ht="15.75" customHeight="1">
      <c r="A28" s="16" t="str">
        <f ca="1">IFERROR(__xludf.DUMMYFUNCTION("""COMPUTED_VALUE"""),"Marx, E [oLIB]")</f>
        <v>Marx, E [oLIB]</v>
      </c>
      <c r="B28" s="16"/>
      <c r="C28" s="14"/>
      <c r="D28" s="16" t="str">
        <f ca="1">IFERROR(__xludf.DUMMYFUNCTION("""COMPUTED_VALUE"""),"Li, T")</f>
        <v>Li, T</v>
      </c>
      <c r="E28" s="16"/>
      <c r="F28" s="14"/>
      <c r="G28" s="16"/>
      <c r="H28" s="16"/>
      <c r="I28" s="14"/>
      <c r="J28" s="16" t="str">
        <f ca="1">IFERROR(__xludf.DUMMYFUNCTION("""COMPUTED_VALUE"""),"Romanao, J")</f>
        <v>Romanao, J</v>
      </c>
      <c r="K28" s="16"/>
      <c r="M28" s="13"/>
      <c r="N28" s="13"/>
      <c r="P28" s="13"/>
      <c r="Q28" s="13"/>
      <c r="S28" s="13"/>
      <c r="T28" s="13"/>
    </row>
    <row r="29" spans="1:20" ht="15.75" customHeight="1">
      <c r="A29" s="16" t="str">
        <f ca="1">IFERROR(__xludf.DUMMYFUNCTION("""COMPUTED_VALUE"""),"Millhouse, M [BayesWave]")</f>
        <v>Millhouse, M [BayesWave]</v>
      </c>
      <c r="B29" s="16"/>
      <c r="C29" s="14"/>
      <c r="D29" s="16"/>
      <c r="E29" s="16"/>
      <c r="F29" s="14"/>
      <c r="G29" s="16"/>
      <c r="H29" s="16"/>
      <c r="I29" s="14"/>
      <c r="J29" s="16"/>
      <c r="K29" s="16"/>
      <c r="M29" s="13"/>
      <c r="N29" s="13"/>
      <c r="P29" s="13"/>
      <c r="Q29" s="13"/>
      <c r="S29" s="13"/>
      <c r="T29" s="13"/>
    </row>
    <row r="30" spans="1:20" ht="15.75" customHeight="1">
      <c r="A30" s="19" t="str">
        <f ca="1">IFERROR(__xludf.DUMMYFUNCTION("""COMPUTED_VALUE"""),"Sutton, P [X-pipeline]")</f>
        <v>Sutton, P [X-pipeline]</v>
      </c>
      <c r="B30" s="19"/>
      <c r="C30" s="14"/>
      <c r="D30" s="62" t="s">
        <v>56</v>
      </c>
      <c r="E30" s="56"/>
      <c r="F30" s="14"/>
      <c r="G30" s="63"/>
      <c r="H30" s="56"/>
      <c r="I30" s="14"/>
      <c r="J30" s="62"/>
      <c r="K30" s="56"/>
      <c r="M30" s="13"/>
      <c r="N30" s="13"/>
      <c r="P30" s="13"/>
      <c r="Q30" s="13"/>
      <c r="S30" s="13"/>
      <c r="T30" s="13"/>
    </row>
    <row r="31" spans="1:20" ht="15.75" customHeight="1">
      <c r="A31" s="15" t="str">
        <f ca="1">IFERROR(__xludf.DUMMYFUNCTION("""COMPUTED_VALUE"""),"Tsuna, D [CosmicStrings]")</f>
        <v>Tsuna, D [CosmicStrings]</v>
      </c>
      <c r="B31" s="16"/>
      <c r="C31" s="14"/>
      <c r="D31" s="15" t="str">
        <f ca="1">IFERROR(__xludf.DUMMYFUNCTION("(QUERY(Current!$A$2:$F1018,CONCATENATE(""select A where (D='"",D30,""' and E='Chair')"")))"),"Haney, M")</f>
        <v>Haney, M</v>
      </c>
      <c r="E31" s="16"/>
      <c r="F31" s="14"/>
      <c r="G31" s="15"/>
      <c r="H31" s="16"/>
      <c r="I31" s="14"/>
      <c r="J31" s="15"/>
      <c r="K31" s="16"/>
      <c r="M31" s="13"/>
      <c r="N31" s="13"/>
      <c r="P31" s="13"/>
      <c r="Q31" s="13"/>
      <c r="S31" s="13"/>
      <c r="T31" s="13"/>
    </row>
    <row r="32" spans="1:20" ht="15.75" customHeight="1">
      <c r="A32" s="15"/>
      <c r="B32" s="16"/>
      <c r="C32" s="14"/>
      <c r="D32" s="15" t="str">
        <f ca="1">IFERROR(__xludf.DUMMYFUNCTION("""COMPUTED_VALUE"""),"Pratten, G")</f>
        <v>Pratten, G</v>
      </c>
      <c r="E32" s="16"/>
      <c r="F32" s="14"/>
      <c r="G32" s="15"/>
      <c r="H32" s="16"/>
      <c r="I32" s="14"/>
      <c r="J32" s="15"/>
      <c r="K32" s="16"/>
      <c r="M32" s="13"/>
      <c r="N32" s="13"/>
      <c r="P32" s="13"/>
      <c r="Q32" s="13"/>
      <c r="S32" s="13"/>
      <c r="T32" s="13"/>
    </row>
    <row r="33" spans="1:20" ht="15.75" customHeight="1">
      <c r="A33" s="15"/>
      <c r="B33" s="16"/>
      <c r="C33" s="14"/>
      <c r="D33" s="15" t="str">
        <f ca="1">IFERROR(__xludf.DUMMYFUNCTION("""COMPUTED_VALUE"""),"Varma, V")</f>
        <v>Varma, V</v>
      </c>
      <c r="E33" s="16"/>
      <c r="F33" s="14"/>
      <c r="G33" s="15"/>
      <c r="H33" s="16"/>
      <c r="I33" s="14"/>
      <c r="J33" s="15"/>
      <c r="K33" s="16"/>
      <c r="M33" s="13"/>
      <c r="N33" s="13"/>
      <c r="P33" s="13"/>
      <c r="Q33" s="13"/>
      <c r="S33" s="13"/>
      <c r="T33" s="13"/>
    </row>
    <row r="34" spans="1:20" ht="15.75" customHeight="1">
      <c r="A34" s="15"/>
      <c r="B34" s="16"/>
      <c r="C34" s="14"/>
      <c r="D34" s="15"/>
      <c r="E34" s="16"/>
      <c r="F34" s="14"/>
      <c r="G34" s="15"/>
      <c r="H34" s="16"/>
      <c r="I34" s="14"/>
      <c r="J34" s="15"/>
      <c r="K34" s="16"/>
      <c r="M34" s="13"/>
      <c r="N34" s="13"/>
      <c r="P34" s="13"/>
      <c r="Q34" s="13"/>
      <c r="S34" s="13"/>
      <c r="T34" s="13"/>
    </row>
    <row r="35" spans="1:2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20" ht="15.75" customHeight="1">
      <c r="A36" s="61" t="s">
        <v>57</v>
      </c>
      <c r="B36" s="56"/>
      <c r="C36" s="1"/>
      <c r="D36" s="61" t="s">
        <v>58</v>
      </c>
      <c r="E36" s="56"/>
      <c r="F36" s="1"/>
      <c r="G36" s="61" t="s">
        <v>59</v>
      </c>
      <c r="H36" s="56"/>
      <c r="I36" s="1"/>
      <c r="J36" s="61" t="s">
        <v>60</v>
      </c>
      <c r="K36" s="56"/>
    </row>
    <row r="37" spans="1:20" ht="15.75" customHeight="1">
      <c r="A37" s="7" t="str">
        <f ca="1">IFERROR(__xludf.DUMMYFUNCTION("TRANSPOSE(QUERY(Current!$A$2:$F1018,CONCATENATE(""select A where (D='"",A36,""' and E='Chair')"")))"),"Corsi, A")</f>
        <v>Corsi, A</v>
      </c>
      <c r="B37" s="9" t="str">
        <f ca="1">IFERROR(__xludf.DUMMYFUNCTION("""COMPUTED_VALUE"""),"Pannarele, F")</f>
        <v>Pannarele, F</v>
      </c>
      <c r="C37" s="1"/>
      <c r="D37" s="7" t="str">
        <f ca="1">IFERROR(__xludf.DUMMYFUNCTION("TRANSPOSE(QUERY(Current!$A$2:$F1018,CONCATENATE(""select A where (D='"",D36,""' and E='Chair')"")))"),"Ghosh, A")</f>
        <v>Ghosh, A</v>
      </c>
      <c r="E37" s="9" t="str">
        <f ca="1">IFERROR(__xludf.DUMMYFUNCTION("""COMPUTED_VALUE"""),"Messenger, C")</f>
        <v>Messenger, C</v>
      </c>
      <c r="F37" s="1"/>
      <c r="G37" s="7" t="str">
        <f ca="1">IFERROR(__xludf.DUMMYFUNCTION("TRANSPOSE(QUERY(Current!$A$2:$F1018,CONCATENATE(""select A where (D='"",G36,""' and E='Chair')"")))"),"Buskulic, D")</f>
        <v>Buskulic, D</v>
      </c>
      <c r="H37" s="9" t="str">
        <f ca="1">IFERROR(__xludf.DUMMYFUNCTION("""COMPUTED_VALUE"""),"Jones, I")</f>
        <v>Jones, I</v>
      </c>
      <c r="I37" s="1"/>
      <c r="J37" s="7" t="str">
        <f ca="1">IFERROR(__xludf.DUMMYFUNCTION("TRANSPOSE(QUERY(Current!$A$2:$F1018,CONCATENATE(""select A where (D='"",J36,""' and E='Chair')"")))"),"Bose, S")</f>
        <v>Bose, S</v>
      </c>
      <c r="K37" s="9" t="str">
        <f ca="1">IFERROR(__xludf.DUMMYFUNCTION("""COMPUTED_VALUE"""),"Garufi, F")</f>
        <v>Garufi, F</v>
      </c>
    </row>
  </sheetData>
  <mergeCells count="34">
    <mergeCell ref="A36:B36"/>
    <mergeCell ref="D36:E36"/>
    <mergeCell ref="G36:H36"/>
    <mergeCell ref="J36:K36"/>
    <mergeCell ref="D22:E22"/>
    <mergeCell ref="D26:E26"/>
    <mergeCell ref="G26:H26"/>
    <mergeCell ref="J26:K26"/>
    <mergeCell ref="D30:E30"/>
    <mergeCell ref="G30:H30"/>
    <mergeCell ref="J30:K30"/>
    <mergeCell ref="A18:B18"/>
    <mergeCell ref="D18:E18"/>
    <mergeCell ref="G18:H18"/>
    <mergeCell ref="J18:K18"/>
    <mergeCell ref="A22:B22"/>
    <mergeCell ref="G22:H22"/>
    <mergeCell ref="J22:K22"/>
    <mergeCell ref="G14:H14"/>
    <mergeCell ref="J14:K14"/>
    <mergeCell ref="A4:B4"/>
    <mergeCell ref="A9:B9"/>
    <mergeCell ref="D9:E9"/>
    <mergeCell ref="G9:H9"/>
    <mergeCell ref="J9:K9"/>
    <mergeCell ref="A14:B14"/>
    <mergeCell ref="D14:E14"/>
    <mergeCell ref="A1:B1"/>
    <mergeCell ref="D1:E1"/>
    <mergeCell ref="G1:H1"/>
    <mergeCell ref="J1:K1"/>
    <mergeCell ref="D4:E4"/>
    <mergeCell ref="G4:H4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16"/>
  <sheetViews>
    <sheetView workbookViewId="0"/>
  </sheetViews>
  <sheetFormatPr baseColWidth="10" defaultColWidth="12.6640625" defaultRowHeight="15.75" customHeight="1"/>
  <cols>
    <col min="3" max="3" width="4.1640625" customWidth="1"/>
    <col min="6" max="6" width="4.1640625" customWidth="1"/>
    <col min="9" max="9" width="4.1640625" customWidth="1"/>
    <col min="12" max="12" width="4.1640625" customWidth="1"/>
    <col min="15" max="15" width="4.1640625" customWidth="1"/>
  </cols>
  <sheetData>
    <row r="1" spans="1:20" ht="15.75" customHeight="1">
      <c r="A1" s="61" t="s">
        <v>12</v>
      </c>
      <c r="B1" s="56"/>
      <c r="C1" s="12"/>
      <c r="D1" s="61" t="s">
        <v>17</v>
      </c>
      <c r="E1" s="56"/>
      <c r="F1" s="12"/>
      <c r="G1" s="61" t="s">
        <v>22</v>
      </c>
      <c r="H1" s="56"/>
      <c r="I1" s="12"/>
      <c r="J1" s="61" t="s">
        <v>27</v>
      </c>
      <c r="K1" s="56"/>
      <c r="L1" s="12"/>
      <c r="M1" s="61" t="s">
        <v>31</v>
      </c>
      <c r="N1" s="56"/>
      <c r="O1" s="21"/>
      <c r="P1" s="61" t="s">
        <v>34</v>
      </c>
      <c r="Q1" s="56"/>
      <c r="S1" s="13"/>
      <c r="T1" s="13"/>
    </row>
    <row r="2" spans="1:20" ht="15.75" customHeight="1">
      <c r="A2" s="7" t="str">
        <f ca="1">IFERROR(__xludf.DUMMYFUNCTION("TRANSPOSE(QUERY(Current!$A$2:$F1000,CONCATENATE(""select A where (D='"",A1,""' and E='Chair')"")))"),"McCuller, L")</f>
        <v>McCuller, L</v>
      </c>
      <c r="B2" s="9"/>
      <c r="C2" s="1"/>
      <c r="D2" s="7" t="str">
        <f ca="1">IFERROR(__xludf.DUMMYFUNCTION("TRANSPOSE(QUERY(Current!$A$2:$F1000,CONCATENATE(""select A where (D='"",D1,""' and E='Chair')"")))"),"Quetschke, V")</f>
        <v>Quetschke, V</v>
      </c>
      <c r="E2" s="9"/>
      <c r="F2" s="1"/>
      <c r="G2" s="7" t="str">
        <f ca="1">IFERROR(__xludf.DUMMYFUNCTION("TRANSPOSE(QUERY(Current!$A$2:$F1000,CONCATENATE(""select A where (D='"",G1,""' and E='Chair')"")))"),"Reid, S")</f>
        <v>Reid, S</v>
      </c>
      <c r="H2" s="9" t="str">
        <f ca="1">IFERROR(__xludf.DUMMYFUNCTION("""COMPUTED_VALUE"""),"Steinlechner, J")</f>
        <v>Steinlechner, J</v>
      </c>
      <c r="I2" s="1"/>
      <c r="J2" s="7" t="str">
        <f ca="1">IFERROR(__xludf.DUMMYFUNCTION("TRANSPOSE(QUERY(Current!$A$2:$F1000,CONCATENATE(""select A where (D='"",J1,""' and E='Chair')"")))"),"Hammond, G")</f>
        <v>Hammond, G</v>
      </c>
      <c r="K2" s="9"/>
      <c r="L2" s="1"/>
      <c r="M2" s="57" t="str">
        <f ca="1">IFERROR(__xludf.DUMMYFUNCTION("TRANSPOSE(QUERY(Current!$A$2:$F1000,CONCATENATE(""select A where (D='"",M1,""' and E='Chair')"")))"),"Brown, D")</f>
        <v>Brown, D</v>
      </c>
      <c r="N2" s="56"/>
      <c r="P2" s="7" t="str">
        <f ca="1">IFERROR(__xludf.DUMMYFUNCTION("TRANSPOSE(QUERY(Current!$A$2:$F1000,CONCATENATE(""select A where (D='"",P1,""' and E='Chair')"")))"),"Vajente, G")</f>
        <v>Vajente, G</v>
      </c>
      <c r="Q2" s="9"/>
    </row>
    <row r="3" spans="1:20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</row>
    <row r="4" spans="1:20" ht="15.75" customHeight="1">
      <c r="A4" s="22" t="s">
        <v>61</v>
      </c>
      <c r="B4" s="9"/>
      <c r="C4" s="1"/>
      <c r="D4" s="22" t="s">
        <v>61</v>
      </c>
      <c r="E4" s="22"/>
      <c r="F4" s="1"/>
      <c r="G4" s="22" t="s">
        <v>61</v>
      </c>
      <c r="H4" s="22"/>
      <c r="I4" s="1"/>
      <c r="J4" s="22" t="s">
        <v>61</v>
      </c>
      <c r="K4" s="22"/>
      <c r="L4" s="1"/>
      <c r="M4" s="22" t="s">
        <v>61</v>
      </c>
      <c r="N4" s="22"/>
      <c r="P4" s="22" t="s">
        <v>61</v>
      </c>
      <c r="Q4" s="9"/>
    </row>
    <row r="5" spans="1:20" ht="15.75" customHeight="1">
      <c r="A5" s="23"/>
      <c r="B5" s="9"/>
      <c r="C5" s="1"/>
      <c r="D5" s="9"/>
      <c r="E5" s="9"/>
      <c r="F5" s="1"/>
      <c r="G5" s="9"/>
      <c r="H5" s="9"/>
      <c r="I5" s="1"/>
      <c r="J5" s="9"/>
      <c r="K5" s="9"/>
      <c r="L5" s="1"/>
      <c r="M5" s="9"/>
      <c r="N5" s="9"/>
      <c r="P5" s="23"/>
      <c r="Q5" s="9"/>
    </row>
    <row r="6" spans="1:20" ht="15.75" customHeight="1">
      <c r="A6" s="9"/>
      <c r="B6" s="9"/>
      <c r="C6" s="1"/>
      <c r="D6" s="9"/>
      <c r="E6" s="9"/>
      <c r="F6" s="1"/>
      <c r="G6" s="9"/>
      <c r="H6" s="9"/>
      <c r="I6" s="1"/>
      <c r="J6" s="9"/>
      <c r="K6" s="9"/>
      <c r="L6" s="1"/>
      <c r="M6" s="9"/>
      <c r="N6" s="9"/>
      <c r="P6" s="9"/>
      <c r="Q6" s="9"/>
    </row>
    <row r="7" spans="1:20" ht="15.75" customHeight="1">
      <c r="A7" s="22"/>
      <c r="B7" s="22"/>
      <c r="C7" s="1"/>
      <c r="D7" s="22"/>
      <c r="E7" s="22"/>
      <c r="F7" s="1"/>
      <c r="G7" s="22"/>
      <c r="H7" s="22"/>
      <c r="I7" s="1"/>
      <c r="J7" s="22"/>
      <c r="K7" s="22"/>
      <c r="L7" s="1"/>
      <c r="M7" s="22"/>
      <c r="N7" s="22"/>
      <c r="P7" s="22"/>
      <c r="Q7" s="22"/>
      <c r="S7" s="13"/>
      <c r="T7" s="13"/>
    </row>
    <row r="8" spans="1:20" ht="15.75" customHeight="1">
      <c r="A8" s="9"/>
      <c r="B8" s="9"/>
      <c r="C8" s="1"/>
      <c r="D8" s="9"/>
      <c r="E8" s="9"/>
      <c r="F8" s="1"/>
      <c r="G8" s="9"/>
      <c r="H8" s="9"/>
      <c r="I8" s="1"/>
      <c r="J8" s="9"/>
      <c r="K8" s="9"/>
      <c r="L8" s="1"/>
      <c r="M8" s="9"/>
      <c r="N8" s="9"/>
      <c r="P8" s="9"/>
      <c r="Q8" s="9"/>
    </row>
    <row r="9" spans="1:20" ht="15.75" customHeight="1">
      <c r="A9" s="9"/>
      <c r="B9" s="9"/>
      <c r="C9" s="1"/>
      <c r="D9" s="9"/>
      <c r="E9" s="9"/>
      <c r="F9" s="1"/>
      <c r="G9" s="9"/>
      <c r="H9" s="9"/>
      <c r="I9" s="1"/>
      <c r="J9" s="9"/>
      <c r="K9" s="9"/>
      <c r="L9" s="1"/>
      <c r="M9" s="9"/>
      <c r="N9" s="9"/>
      <c r="P9" s="9"/>
      <c r="Q9" s="9"/>
    </row>
    <row r="10" spans="1:20" ht="15.75" customHeight="1">
      <c r="A10" s="57"/>
      <c r="B10" s="56"/>
      <c r="C10" s="1"/>
      <c r="D10" s="22"/>
      <c r="E10" s="22"/>
      <c r="F10" s="1"/>
      <c r="G10" s="22"/>
      <c r="H10" s="22"/>
      <c r="I10" s="1"/>
      <c r="J10" s="22"/>
      <c r="K10" s="22"/>
      <c r="L10" s="1"/>
      <c r="M10" s="22"/>
      <c r="N10" s="22"/>
      <c r="P10" s="57"/>
      <c r="Q10" s="56"/>
      <c r="S10" s="13"/>
      <c r="T10" s="13"/>
    </row>
    <row r="11" spans="1:20" ht="15.75" customHeight="1">
      <c r="A11" s="9"/>
      <c r="B11" s="9"/>
      <c r="C11" s="1"/>
      <c r="D11" s="9"/>
      <c r="E11" s="9"/>
      <c r="F11" s="1"/>
      <c r="G11" s="9"/>
      <c r="H11" s="9"/>
      <c r="I11" s="1"/>
      <c r="J11" s="9"/>
      <c r="K11" s="9"/>
      <c r="L11" s="1"/>
      <c r="M11" s="9"/>
      <c r="N11" s="9"/>
      <c r="P11" s="9"/>
      <c r="Q11" s="9"/>
    </row>
    <row r="12" spans="1:20" ht="15.75" customHeight="1">
      <c r="A12" s="9"/>
      <c r="B12" s="9"/>
      <c r="C12" s="1"/>
      <c r="D12" s="9"/>
      <c r="E12" s="9"/>
      <c r="F12" s="1"/>
      <c r="G12" s="9"/>
      <c r="H12" s="9"/>
      <c r="I12" s="1"/>
      <c r="J12" s="9"/>
      <c r="K12" s="9"/>
      <c r="L12" s="1"/>
      <c r="M12" s="9"/>
      <c r="N12" s="9"/>
      <c r="P12" s="9"/>
      <c r="Q12" s="9"/>
    </row>
    <row r="13" spans="1:20" ht="15.75" customHeight="1">
      <c r="A13" s="57"/>
      <c r="B13" s="56"/>
      <c r="C13" s="1"/>
      <c r="D13" s="22"/>
      <c r="E13" s="22"/>
      <c r="F13" s="1"/>
      <c r="G13" s="22"/>
      <c r="H13" s="22"/>
      <c r="I13" s="1"/>
      <c r="J13" s="22"/>
      <c r="K13" s="22"/>
      <c r="L13" s="1"/>
      <c r="M13" s="22"/>
      <c r="N13" s="22"/>
      <c r="P13" s="57"/>
      <c r="Q13" s="56"/>
      <c r="S13" s="13"/>
      <c r="T13" s="13"/>
    </row>
    <row r="14" spans="1:20" ht="15.75" customHeight="1">
      <c r="A14" s="9"/>
      <c r="B14" s="9"/>
      <c r="C14" s="1"/>
      <c r="D14" s="9"/>
      <c r="E14" s="9"/>
      <c r="F14" s="1"/>
      <c r="G14" s="9"/>
      <c r="H14" s="9"/>
      <c r="I14" s="1"/>
      <c r="J14" s="9"/>
      <c r="K14" s="9"/>
      <c r="L14" s="1"/>
      <c r="M14" s="9"/>
      <c r="N14" s="9"/>
      <c r="P14" s="9"/>
      <c r="Q14" s="9"/>
    </row>
    <row r="15" spans="1:20" ht="15.75" customHeight="1">
      <c r="A15" s="9"/>
      <c r="B15" s="9"/>
      <c r="C15" s="1"/>
      <c r="D15" s="9"/>
      <c r="E15" s="9"/>
      <c r="F15" s="1"/>
      <c r="G15" s="9"/>
      <c r="H15" s="9"/>
      <c r="I15" s="1"/>
      <c r="J15" s="9"/>
      <c r="K15" s="9"/>
      <c r="L15" s="1"/>
      <c r="M15" s="9"/>
      <c r="N15" s="9"/>
      <c r="P15" s="9"/>
      <c r="Q15" s="9"/>
    </row>
    <row r="16" spans="1:20" ht="15.75" customHeight="1">
      <c r="A16" s="22"/>
      <c r="B16" s="22"/>
      <c r="C16" s="1"/>
      <c r="D16" s="22"/>
      <c r="E16" s="22"/>
      <c r="F16" s="1"/>
      <c r="G16" s="22"/>
      <c r="H16" s="22"/>
      <c r="I16" s="1"/>
      <c r="J16" s="22"/>
      <c r="K16" s="22"/>
      <c r="L16" s="1"/>
      <c r="M16" s="22"/>
      <c r="N16" s="22"/>
      <c r="P16" s="22"/>
      <c r="Q16" s="22"/>
      <c r="S16" s="13"/>
      <c r="T16" s="13"/>
    </row>
  </sheetData>
  <mergeCells count="11">
    <mergeCell ref="A10:B10"/>
    <mergeCell ref="P10:Q10"/>
    <mergeCell ref="A13:B13"/>
    <mergeCell ref="P13:Q13"/>
    <mergeCell ref="A1:B1"/>
    <mergeCell ref="D1:E1"/>
    <mergeCell ref="G1:H1"/>
    <mergeCell ref="J1:K1"/>
    <mergeCell ref="M1:N1"/>
    <mergeCell ref="P1:Q1"/>
    <mergeCell ref="M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35"/>
  <sheetViews>
    <sheetView workbookViewId="0"/>
  </sheetViews>
  <sheetFormatPr baseColWidth="10" defaultColWidth="12.6640625" defaultRowHeight="15.75" customHeight="1"/>
  <cols>
    <col min="3" max="3" width="4.1640625" customWidth="1"/>
    <col min="6" max="6" width="4.1640625" customWidth="1"/>
    <col min="9" max="9" width="4.1640625" customWidth="1"/>
    <col min="12" max="12" width="4.1640625" customWidth="1"/>
    <col min="15" max="15" width="4.1640625" customWidth="1"/>
    <col min="18" max="18" width="4.1640625" customWidth="1"/>
  </cols>
  <sheetData>
    <row r="1" spans="1:20" ht="15.75" customHeight="1">
      <c r="A1" s="61" t="s">
        <v>13</v>
      </c>
      <c r="B1" s="56"/>
      <c r="C1" s="12"/>
      <c r="D1" s="61" t="s">
        <v>18</v>
      </c>
      <c r="E1" s="56"/>
      <c r="F1" s="12"/>
      <c r="G1" s="61" t="s">
        <v>23</v>
      </c>
      <c r="H1" s="56"/>
      <c r="I1" s="12"/>
      <c r="J1" s="61" t="s">
        <v>28</v>
      </c>
      <c r="K1" s="56"/>
      <c r="L1" s="12"/>
      <c r="M1" s="61" t="s">
        <v>32</v>
      </c>
      <c r="N1" s="56"/>
      <c r="O1" s="21"/>
      <c r="P1" s="61" t="s">
        <v>35</v>
      </c>
      <c r="Q1" s="56"/>
      <c r="R1" s="21"/>
      <c r="S1" s="61" t="s">
        <v>37</v>
      </c>
      <c r="T1" s="56"/>
    </row>
    <row r="2" spans="1:20" ht="15.75" customHeight="1">
      <c r="A2" s="7" t="str">
        <f ca="1">IFERROR(__xludf.DUMMYFUNCTION("TRANSPOSE(QUERY(Current!$A$2:$F1023,CONCATENATE(""select A where (D='"",A1,""' and E='Chair')"")))"),"Rollins, J")</f>
        <v>Rollins, J</v>
      </c>
      <c r="B2" s="9" t="str">
        <f ca="1">IFERROR(__xludf.DUMMYFUNCTION("""COMPUTED_VALUE"""),"Sun, L")</f>
        <v>Sun, L</v>
      </c>
      <c r="C2" s="1"/>
      <c r="D2" s="7" t="str">
        <f ca="1">IFERROR(__xludf.DUMMYFUNCTION("TRANSPOSE(QUERY(Current!$A$2:$F1023,CONCATENATE(""select A where (D='"",D1,""' and E='Chair')"")))"),"Davis, D")</f>
        <v>Davis, D</v>
      </c>
      <c r="E2" s="9" t="str">
        <f ca="1">IFERROR(__xludf.DUMMYFUNCTION("""COMPUTED_VALUE"""),"Hughey, B [MT]")</f>
        <v>Hughey, B [MT]</v>
      </c>
      <c r="F2" s="1"/>
      <c r="G2" s="7" t="str">
        <f ca="1">IFERROR(__xludf.DUMMYFUNCTION("TRANSPOSE(QUERY(Current!$A$2:$F1023,CONCATENATE(""select A where (D='"",G1,""' and E='Chair')"")))"),"Ghosh, S")</f>
        <v>Ghosh, S</v>
      </c>
      <c r="H2" s="9"/>
      <c r="I2" s="1"/>
      <c r="J2" s="7" t="str">
        <f ca="1">IFERROR(__xludf.DUMMYFUNCTION("TRANSPOSE(QUERY(Current!$A$2:$F1023,CONCATENATE(""select A where (D='"",J1,""' and E='Chair')"")))"),"Shoemaker, D")</f>
        <v>Shoemaker, D</v>
      </c>
      <c r="K2" s="9"/>
      <c r="L2" s="1"/>
      <c r="M2" s="9" t="str">
        <f ca="1">IFERROR(__xludf.DUMMYFUNCTION("TRANSPOSE(QUERY(Current!$A$2:$F1023,CONCATENATE(""select A where (D='"",M1,""' and E='Chair')"")))"),"Couvares, P")</f>
        <v>Couvares, P</v>
      </c>
      <c r="N2" s="9" t="str">
        <f ca="1">IFERROR(__xludf.DUMMYFUNCTION("""COMPUTED_VALUE"""),"MacLeod, D [MT]")</f>
        <v>MacLeod, D [MT]</v>
      </c>
      <c r="P2" s="7" t="str">
        <f ca="1">IFERROR(__xludf.DUMMYFUNCTION("TRANSPOSE(QUERY(Current!$A$2:$F1023,CONCATENATE(""select A where (D='"",P1,""' and E='Chair')"")))"),"Effler, A")</f>
        <v>Effler, A</v>
      </c>
      <c r="Q2" s="9" t="str">
        <f ca="1">IFERROR(__xludf.DUMMYFUNCTION("""COMPUTED_VALUE"""),"Savage, R")</f>
        <v>Savage, R</v>
      </c>
      <c r="S2" s="7" t="str">
        <f ca="1">IFERROR(__xludf.DUMMYFUNCTION("TRANSPOSE(QUERY(Current!$A$2:$F1023,CONCATENATE(""select A where (D='"",S1,""' and E='Chair')"")))"),"Kanner, J")</f>
        <v>Kanner, J</v>
      </c>
      <c r="T2" s="9"/>
    </row>
    <row r="3" spans="1:20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  <c r="S3" s="1"/>
      <c r="T3" s="1"/>
    </row>
    <row r="4" spans="1:20" ht="15.75" customHeight="1">
      <c r="A4" s="61" t="s">
        <v>62</v>
      </c>
      <c r="B4" s="56"/>
      <c r="C4" s="1"/>
      <c r="D4" s="61" t="s">
        <v>63</v>
      </c>
      <c r="E4" s="56"/>
      <c r="F4" s="1"/>
      <c r="G4" s="61" t="s">
        <v>64</v>
      </c>
      <c r="H4" s="56"/>
      <c r="I4" s="1"/>
      <c r="S4" s="61" t="s">
        <v>65</v>
      </c>
      <c r="T4" s="56"/>
    </row>
    <row r="5" spans="1:20" ht="15.75" customHeight="1">
      <c r="A5" s="7" t="str">
        <f ca="1">IFERROR(__xludf.DUMMYFUNCTION("TRANSPOSE(QUERY(Current!$A$2:$F1023,CONCATENATE(""select A where (D='"",A4,""' and E='Chair')"")))"),"#N/A")</f>
        <v>#N/A</v>
      </c>
      <c r="B5" s="9"/>
      <c r="C5" s="1"/>
      <c r="D5" s="7" t="str">
        <f ca="1">IFERROR(__xludf.DUMMYFUNCTION("TRANSPOSE(QUERY(Current!$A$2:$F1023,CONCATENATE(""select A where (D='"",D4,""' and E='Chair')"")))"),"McIver, J")</f>
        <v>McIver, J</v>
      </c>
      <c r="E5" s="9"/>
      <c r="F5" s="1"/>
      <c r="G5" s="7" t="str">
        <f ca="1">IFERROR(__xludf.DUMMYFUNCTION("TRANSPOSE(QUERY(Current!$A$2:$F1023,CONCATENATE(""select A where (D='"",G4,""' and E='Chair')"")))"),"#N/A")</f>
        <v>#N/A</v>
      </c>
      <c r="H5" s="9"/>
      <c r="I5" s="1"/>
      <c r="S5" s="7"/>
      <c r="T5" s="9"/>
    </row>
    <row r="6" spans="1:20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1"/>
      <c r="Q6" s="1"/>
      <c r="S6" s="1"/>
      <c r="T6" s="1"/>
    </row>
    <row r="7" spans="1:20" ht="15.75" customHeight="1">
      <c r="A7" s="9"/>
      <c r="B7" s="9"/>
      <c r="C7" s="1"/>
      <c r="D7" s="62" t="s">
        <v>66</v>
      </c>
      <c r="E7" s="56"/>
      <c r="F7" s="1"/>
      <c r="G7" s="9"/>
      <c r="H7" s="22"/>
      <c r="I7" s="1"/>
      <c r="J7" s="9"/>
      <c r="K7" s="22"/>
      <c r="L7" s="1"/>
      <c r="M7" s="22" t="s">
        <v>67</v>
      </c>
      <c r="N7" s="22"/>
      <c r="P7" s="9"/>
      <c r="Q7" s="9"/>
      <c r="S7" s="9"/>
      <c r="T7" s="9"/>
    </row>
    <row r="8" spans="1:20" ht="15.75" customHeight="1">
      <c r="A8" s="23"/>
      <c r="B8" s="9"/>
      <c r="C8" s="1"/>
      <c r="D8" s="15" t="str">
        <f ca="1">IFERROR(__xludf.DUMMYFUNCTION("(QUERY(Current!$A$2:$F1023,CONCATENATE(""select A where (D='"",D7,""' and (E='Deputy Lead' or E='Lead'))"")))"),"Areeda, J [Lead]")</f>
        <v>Areeda, J [Lead]</v>
      </c>
      <c r="E8" s="16"/>
      <c r="F8" s="1"/>
      <c r="G8" s="9"/>
      <c r="H8" s="9"/>
      <c r="I8" s="1"/>
      <c r="J8" s="9"/>
      <c r="K8" s="9"/>
      <c r="L8" s="1"/>
      <c r="M8" s="22" t="s">
        <v>68</v>
      </c>
      <c r="N8" s="9"/>
      <c r="P8" s="23"/>
      <c r="Q8" s="9"/>
      <c r="S8" s="23"/>
      <c r="T8" s="9"/>
    </row>
    <row r="9" spans="1:20" ht="15.75" customHeight="1">
      <c r="A9" s="9"/>
      <c r="B9" s="9"/>
      <c r="C9" s="1"/>
      <c r="D9" s="15" t="str">
        <f ca="1">IFERROR(__xludf.DUMMYFUNCTION("""COMPUTED_VALUE"""),"Bruntz, R [Deputy Lead]")</f>
        <v>Bruntz, R [Deputy Lead]</v>
      </c>
      <c r="E9" s="9"/>
      <c r="F9" s="1"/>
      <c r="G9" s="9"/>
      <c r="H9" s="9"/>
      <c r="I9" s="1"/>
      <c r="J9" s="9"/>
      <c r="K9" s="9"/>
      <c r="L9" s="1"/>
      <c r="M9" s="9"/>
      <c r="N9" s="9"/>
      <c r="P9" s="9"/>
      <c r="Q9" s="9"/>
      <c r="S9" s="9"/>
      <c r="T9" s="9"/>
    </row>
    <row r="10" spans="1:20" ht="15.75" customHeight="1">
      <c r="A10" s="22"/>
      <c r="B10" s="22"/>
      <c r="C10" s="1"/>
      <c r="D10" s="22" t="str">
        <f ca="1">IFERROR(__xludf.DUMMYFUNCTION("""COMPUTED_VALUE"""),"Goetz, E [Deputy Lead]")</f>
        <v>Goetz, E [Deputy Lead]</v>
      </c>
      <c r="E10" s="22"/>
      <c r="F10" s="1"/>
      <c r="G10" s="22"/>
      <c r="H10" s="22"/>
      <c r="I10" s="1"/>
      <c r="J10" s="22"/>
      <c r="K10" s="22"/>
      <c r="L10" s="1"/>
      <c r="M10" s="22" t="s">
        <v>69</v>
      </c>
      <c r="N10" s="22"/>
      <c r="P10" s="22"/>
      <c r="Q10" s="22"/>
      <c r="S10" s="22"/>
      <c r="T10" s="22"/>
    </row>
    <row r="11" spans="1:20" ht="15.75" customHeight="1">
      <c r="A11" s="9"/>
      <c r="B11" s="9"/>
      <c r="C11" s="1"/>
      <c r="D11" s="9"/>
      <c r="E11" s="9"/>
      <c r="F11" s="1"/>
      <c r="G11" s="9"/>
      <c r="H11" s="9"/>
      <c r="I11" s="1"/>
      <c r="J11" s="9"/>
      <c r="K11" s="9"/>
      <c r="L11" s="1"/>
      <c r="M11" s="9"/>
      <c r="N11" s="9"/>
      <c r="P11" s="9"/>
      <c r="Q11" s="9"/>
      <c r="S11" s="9"/>
      <c r="T11" s="9"/>
    </row>
    <row r="12" spans="1:20" ht="15.75" customHeight="1">
      <c r="A12" s="9"/>
      <c r="B12" s="9"/>
      <c r="C12" s="1"/>
      <c r="D12" s="62" t="s">
        <v>70</v>
      </c>
      <c r="E12" s="56"/>
      <c r="F12" s="1"/>
      <c r="G12" s="9"/>
      <c r="H12" s="9"/>
      <c r="I12" s="1"/>
      <c r="J12" s="9"/>
      <c r="K12" s="9"/>
      <c r="L12" s="1"/>
      <c r="M12" s="9"/>
      <c r="N12" s="9"/>
      <c r="P12" s="9"/>
      <c r="Q12" s="9"/>
      <c r="S12" s="9"/>
      <c r="T12" s="9"/>
    </row>
    <row r="13" spans="1:20" ht="15.75" customHeight="1">
      <c r="A13" s="57"/>
      <c r="B13" s="56"/>
      <c r="C13" s="1"/>
      <c r="D13" s="15" t="str">
        <f ca="1">IFERROR(__xludf.DUMMYFUNCTION("(QUERY(Current!$A$2:$F1023,CONCATENATE(""select A where (D='"",D12,""' and (E='Deputy Lead' or E='Lead'))"")))"),"Nguyen, P [LHO]")</f>
        <v>Nguyen, P [LHO]</v>
      </c>
      <c r="E13" s="16"/>
      <c r="F13" s="1"/>
      <c r="G13" s="22"/>
      <c r="H13" s="22"/>
      <c r="I13" s="1"/>
      <c r="J13" s="22"/>
      <c r="K13" s="22"/>
      <c r="L13" s="1"/>
      <c r="M13" s="22"/>
      <c r="N13" s="22"/>
      <c r="P13" s="57"/>
      <c r="Q13" s="56"/>
      <c r="S13" s="57"/>
      <c r="T13" s="56"/>
    </row>
    <row r="14" spans="1:20" ht="15.75" customHeight="1">
      <c r="A14" s="9"/>
      <c r="B14" s="9"/>
      <c r="C14" s="1"/>
      <c r="D14" s="9" t="str">
        <f ca="1">IFERROR(__xludf.DUMMYFUNCTION("""COMPUTED_VALUE"""),"Schofield, R [LHO]")</f>
        <v>Schofield, R [LHO]</v>
      </c>
      <c r="E14" s="9"/>
      <c r="F14" s="1"/>
      <c r="G14" s="9"/>
      <c r="H14" s="9"/>
      <c r="I14" s="1"/>
      <c r="J14" s="9"/>
      <c r="K14" s="9"/>
      <c r="L14" s="1"/>
      <c r="M14" s="9"/>
      <c r="N14" s="9"/>
      <c r="P14" s="9"/>
      <c r="Q14" s="9"/>
      <c r="S14" s="9"/>
      <c r="T14" s="9"/>
    </row>
    <row r="15" spans="1:20" ht="15.75" customHeight="1">
      <c r="A15" s="9"/>
      <c r="B15" s="9"/>
      <c r="C15" s="1"/>
      <c r="D15" s="9" t="str">
        <f ca="1">IFERROR(__xludf.DUMMYFUNCTION("""COMPUTED_VALUE"""),"Valdes, G [LLO]")</f>
        <v>Valdes, G [LLO]</v>
      </c>
      <c r="E15" s="9"/>
      <c r="F15" s="1"/>
      <c r="G15" s="9"/>
      <c r="H15" s="9"/>
      <c r="I15" s="1"/>
      <c r="J15" s="9"/>
      <c r="K15" s="9"/>
      <c r="L15" s="1"/>
      <c r="M15" s="9"/>
      <c r="N15" s="9"/>
      <c r="P15" s="9"/>
      <c r="Q15" s="9"/>
      <c r="S15" s="9"/>
      <c r="T15" s="9"/>
    </row>
    <row r="16" spans="1:20" ht="15.75" customHeight="1">
      <c r="A16" s="57"/>
      <c r="B16" s="56"/>
      <c r="C16" s="1"/>
      <c r="D16" s="22"/>
      <c r="E16" s="22"/>
      <c r="F16" s="1"/>
      <c r="G16" s="22"/>
      <c r="H16" s="22"/>
      <c r="I16" s="1"/>
      <c r="J16" s="22"/>
      <c r="K16" s="22"/>
      <c r="L16" s="1"/>
      <c r="M16" s="22"/>
      <c r="N16" s="22"/>
      <c r="P16" s="57"/>
      <c r="Q16" s="56"/>
      <c r="S16" s="57"/>
      <c r="T16" s="56"/>
    </row>
    <row r="17" spans="1:20" ht="15.75" customHeight="1">
      <c r="A17" s="9"/>
      <c r="B17" s="9"/>
      <c r="C17" s="1"/>
      <c r="D17" s="62" t="s">
        <v>71</v>
      </c>
      <c r="E17" s="56"/>
      <c r="F17" s="1"/>
      <c r="G17" s="9"/>
      <c r="H17" s="9"/>
      <c r="I17" s="1"/>
      <c r="J17" s="9"/>
      <c r="K17" s="9"/>
      <c r="L17" s="1"/>
      <c r="M17" s="9"/>
      <c r="N17" s="9"/>
      <c r="P17" s="9"/>
      <c r="Q17" s="9"/>
      <c r="S17" s="9"/>
      <c r="T17" s="9"/>
    </row>
    <row r="18" spans="1:20" ht="15.75" customHeight="1">
      <c r="A18" s="9"/>
      <c r="B18" s="9"/>
      <c r="C18" s="1"/>
      <c r="D18" s="15" t="str">
        <f ca="1">IFERROR(__xludf.DUMMYFUNCTION("(QUERY(Current!$A$2:$F1023,CONCATENATE(""select A where (D='"",D17,""' and (E='Deputy Lead' or E='Lead'))"")))"),"Macas, R")</f>
        <v>Macas, R</v>
      </c>
      <c r="E18" s="16"/>
      <c r="F18" s="1"/>
      <c r="G18" s="9"/>
      <c r="H18" s="9"/>
      <c r="I18" s="1"/>
      <c r="J18" s="9"/>
      <c r="K18" s="9"/>
      <c r="L18" s="1"/>
      <c r="M18" s="9"/>
      <c r="N18" s="9"/>
      <c r="P18" s="9"/>
      <c r="Q18" s="9"/>
      <c r="S18" s="9"/>
      <c r="T18" s="9"/>
    </row>
    <row r="19" spans="1:20" ht="15.75" customHeight="1">
      <c r="A19" s="22"/>
      <c r="B19" s="22"/>
      <c r="C19" s="1"/>
      <c r="D19" s="9" t="str">
        <f ca="1">IFERROR(__xludf.DUMMYFUNCTION("""COMPUTED_VALUE"""),"Soni, S")</f>
        <v>Soni, S</v>
      </c>
      <c r="E19" s="9"/>
      <c r="F19" s="1"/>
      <c r="G19" s="22"/>
      <c r="H19" s="22"/>
      <c r="I19" s="1"/>
      <c r="J19" s="22"/>
      <c r="K19" s="22"/>
      <c r="L19" s="1"/>
      <c r="M19" s="22"/>
      <c r="N19" s="22"/>
      <c r="P19" s="22"/>
      <c r="Q19" s="22"/>
      <c r="S19" s="22"/>
      <c r="T19" s="22"/>
    </row>
    <row r="20" spans="1:20" ht="15.75" customHeight="1">
      <c r="A20" s="22"/>
      <c r="B20" s="22"/>
      <c r="C20" s="1"/>
      <c r="D20" s="9"/>
      <c r="E20" s="9"/>
      <c r="F20" s="1"/>
      <c r="G20" s="22"/>
      <c r="H20" s="22"/>
      <c r="I20" s="1"/>
      <c r="J20" s="22"/>
      <c r="K20" s="22"/>
      <c r="L20" s="1"/>
      <c r="M20" s="22"/>
      <c r="N20" s="22"/>
      <c r="P20" s="22"/>
      <c r="Q20" s="22"/>
      <c r="S20" s="22"/>
      <c r="T20" s="22"/>
    </row>
    <row r="21" spans="1:20" ht="15.75" customHeight="1">
      <c r="A21" s="22"/>
      <c r="B21" s="22"/>
      <c r="C21" s="1"/>
      <c r="D21" s="62" t="s">
        <v>72</v>
      </c>
      <c r="E21" s="56"/>
      <c r="F21" s="1"/>
      <c r="G21" s="22"/>
      <c r="H21" s="22"/>
      <c r="I21" s="1"/>
      <c r="J21" s="22"/>
      <c r="K21" s="22"/>
      <c r="L21" s="1"/>
      <c r="M21" s="22"/>
      <c r="N21" s="22"/>
      <c r="P21" s="22"/>
      <c r="Q21" s="22"/>
      <c r="S21" s="22"/>
      <c r="T21" s="22"/>
    </row>
    <row r="22" spans="1:20" ht="15.75" customHeight="1">
      <c r="A22" s="22"/>
      <c r="B22" s="22"/>
      <c r="C22" s="1"/>
      <c r="D22" s="15" t="str">
        <f ca="1">IFERROR(__xludf.DUMMYFUNCTION("(QUERY(Current!$A$2:$F1023,CONCATENATE(""select A where (D='"",D21,""' and (E='Deputy Lead' or E='Lead'))"")))"),"Soni, S")</f>
        <v>Soni, S</v>
      </c>
      <c r="E22" s="16"/>
      <c r="F22" s="1"/>
      <c r="G22" s="22"/>
      <c r="H22" s="22"/>
      <c r="I22" s="1"/>
      <c r="J22" s="22"/>
      <c r="K22" s="22"/>
      <c r="L22" s="1"/>
      <c r="M22" s="22"/>
      <c r="N22" s="22"/>
      <c r="P22" s="22"/>
      <c r="Q22" s="22"/>
      <c r="S22" s="22"/>
      <c r="T22" s="22"/>
    </row>
    <row r="23" spans="1:20" ht="15.75" customHeight="1">
      <c r="A23" s="22"/>
      <c r="B23" s="22"/>
      <c r="C23" s="1"/>
      <c r="D23" s="9"/>
      <c r="E23" s="9"/>
      <c r="F23" s="1"/>
      <c r="G23" s="22"/>
      <c r="H23" s="22"/>
      <c r="I23" s="1"/>
      <c r="J23" s="22"/>
      <c r="K23" s="22"/>
      <c r="L23" s="1"/>
      <c r="M23" s="22"/>
      <c r="N23" s="22"/>
      <c r="P23" s="22"/>
      <c r="Q23" s="22"/>
      <c r="S23" s="22"/>
      <c r="T23" s="22"/>
    </row>
    <row r="24" spans="1:20" ht="15.75" customHeight="1">
      <c r="A24" s="22"/>
      <c r="B24" s="22"/>
      <c r="C24" s="1"/>
      <c r="D24" s="62" t="s">
        <v>73</v>
      </c>
      <c r="E24" s="56"/>
      <c r="F24" s="1"/>
      <c r="G24" s="22"/>
      <c r="H24" s="22"/>
      <c r="I24" s="1"/>
      <c r="J24" s="22"/>
      <c r="K24" s="22"/>
      <c r="L24" s="1"/>
      <c r="M24" s="22"/>
      <c r="N24" s="22"/>
      <c r="P24" s="22"/>
      <c r="Q24" s="22"/>
      <c r="S24" s="22"/>
      <c r="T24" s="22"/>
    </row>
    <row r="25" spans="1:20" ht="15.75" customHeight="1">
      <c r="A25" s="22"/>
      <c r="B25" s="22"/>
      <c r="C25" s="1"/>
      <c r="D25" s="15" t="str">
        <f ca="1">IFERROR(__xludf.DUMMYFUNCTION("(QUERY(Current!$A$2:$F1023,CONCATENATE(""select A where (D='"",D24,""' and (E='Lead'))"")))"),"Berger, B")</f>
        <v>Berger, B</v>
      </c>
      <c r="E25" s="16"/>
      <c r="F25" s="1"/>
      <c r="G25" s="22"/>
      <c r="H25" s="22"/>
      <c r="I25" s="1"/>
      <c r="J25" s="22"/>
      <c r="K25" s="22"/>
      <c r="L25" s="1"/>
      <c r="M25" s="22"/>
      <c r="N25" s="22"/>
      <c r="P25" s="22"/>
      <c r="Q25" s="22"/>
      <c r="S25" s="22"/>
      <c r="T25" s="22"/>
    </row>
    <row r="26" spans="1:20" ht="15.75" customHeight="1">
      <c r="A26" s="22"/>
      <c r="B26" s="22"/>
      <c r="C26" s="1"/>
      <c r="D26" s="22"/>
      <c r="E26" s="22"/>
      <c r="F26" s="1"/>
      <c r="G26" s="22"/>
      <c r="H26" s="22"/>
      <c r="I26" s="1"/>
      <c r="J26" s="22"/>
      <c r="K26" s="22"/>
      <c r="L26" s="1"/>
      <c r="M26" s="22"/>
      <c r="N26" s="22"/>
      <c r="P26" s="22"/>
      <c r="Q26" s="22"/>
      <c r="S26" s="22"/>
      <c r="T26" s="22"/>
    </row>
    <row r="27" spans="1:20" ht="15.75" customHeight="1">
      <c r="A27" s="22"/>
      <c r="B27" s="22"/>
      <c r="C27" s="1"/>
      <c r="D27" s="62" t="s">
        <v>74</v>
      </c>
      <c r="E27" s="56"/>
      <c r="F27" s="1"/>
      <c r="G27" s="22"/>
      <c r="H27" s="22"/>
      <c r="I27" s="1"/>
      <c r="J27" s="22"/>
      <c r="K27" s="22"/>
      <c r="L27" s="1"/>
      <c r="M27" s="22"/>
      <c r="N27" s="22"/>
      <c r="P27" s="22"/>
      <c r="Q27" s="22"/>
      <c r="S27" s="22"/>
      <c r="T27" s="22"/>
    </row>
    <row r="28" spans="1:20" ht="15.75" customHeight="1">
      <c r="A28" s="22"/>
      <c r="B28" s="22"/>
      <c r="C28" s="1"/>
      <c r="D28" s="15" t="str">
        <f ca="1">IFERROR(__xludf.DUMMYFUNCTION("(QUERY(Current!$A$2:$F1023,CONCATENATE(""select A where (D='"",D27,""' and (E='Deputy Lead' or E='Lead'))"")))"),"Mo, G")</f>
        <v>Mo, G</v>
      </c>
      <c r="E28" s="16"/>
      <c r="F28" s="1"/>
      <c r="G28" s="22"/>
      <c r="H28" s="22"/>
      <c r="I28" s="1"/>
      <c r="J28" s="22"/>
      <c r="K28" s="22"/>
      <c r="L28" s="1"/>
      <c r="M28" s="22"/>
      <c r="N28" s="22"/>
      <c r="P28" s="22"/>
      <c r="Q28" s="22"/>
      <c r="S28" s="22"/>
      <c r="T28" s="22"/>
    </row>
    <row r="29" spans="1:20" ht="15.75" customHeight="1">
      <c r="A29" s="22"/>
      <c r="B29" s="22"/>
      <c r="C29" s="1"/>
      <c r="D29" s="15"/>
      <c r="E29" s="16"/>
      <c r="F29" s="1"/>
      <c r="G29" s="22"/>
      <c r="H29" s="22"/>
      <c r="I29" s="1"/>
      <c r="J29" s="22"/>
      <c r="K29" s="22"/>
      <c r="L29" s="1"/>
      <c r="M29" s="22"/>
      <c r="N29" s="22"/>
      <c r="P29" s="22"/>
      <c r="Q29" s="22"/>
      <c r="S29" s="22"/>
      <c r="T29" s="22"/>
    </row>
    <row r="30" spans="1:20" ht="15.75" customHeight="1">
      <c r="A30" s="22"/>
      <c r="B30" s="22"/>
      <c r="C30" s="1"/>
      <c r="D30" s="62" t="s">
        <v>75</v>
      </c>
      <c r="E30" s="56"/>
      <c r="F30" s="1"/>
      <c r="G30" s="22"/>
      <c r="H30" s="22"/>
      <c r="I30" s="1"/>
      <c r="J30" s="22"/>
      <c r="K30" s="22"/>
      <c r="L30" s="1"/>
      <c r="M30" s="22"/>
      <c r="N30" s="22"/>
      <c r="P30" s="22"/>
      <c r="Q30" s="22"/>
      <c r="S30" s="22"/>
      <c r="T30" s="22"/>
    </row>
    <row r="31" spans="1:20" ht="15.75" customHeight="1">
      <c r="A31" s="22"/>
      <c r="B31" s="22"/>
      <c r="C31" s="1"/>
      <c r="D31" s="15" t="str">
        <f ca="1">IFERROR(__xludf.DUMMYFUNCTION("(QUERY(Current!$A$2:$F1023,CONCATENATE(""select A where (D='"",D30,""' and (E='Liaison'))"")))"),"Fisher, R [GRB/FRB]")</f>
        <v>Fisher, R [GRB/FRB]</v>
      </c>
      <c r="E31" s="16"/>
      <c r="F31" s="1"/>
      <c r="G31" s="22"/>
      <c r="H31" s="22"/>
      <c r="I31" s="1"/>
      <c r="J31" s="22"/>
      <c r="K31" s="22"/>
      <c r="L31" s="1"/>
      <c r="M31" s="22"/>
      <c r="N31" s="22"/>
      <c r="P31" s="22"/>
      <c r="Q31" s="22"/>
      <c r="S31" s="22"/>
      <c r="T31" s="22"/>
    </row>
    <row r="32" spans="1:20" ht="15.75" customHeight="1">
      <c r="A32" s="22"/>
      <c r="B32" s="22"/>
      <c r="C32" s="1"/>
      <c r="D32" s="15" t="str">
        <f ca="1">IFERROR(__xludf.DUMMYFUNCTION("""COMPUTED_VALUE"""),"Goetz, E [CW]")</f>
        <v>Goetz, E [CW]</v>
      </c>
      <c r="E32" s="16"/>
      <c r="F32" s="1"/>
      <c r="G32" s="22"/>
      <c r="H32" s="22"/>
      <c r="I32" s="1"/>
      <c r="J32" s="22"/>
      <c r="K32" s="22"/>
      <c r="L32" s="1"/>
      <c r="M32" s="22"/>
      <c r="N32" s="22"/>
      <c r="P32" s="22"/>
      <c r="Q32" s="22"/>
      <c r="S32" s="22"/>
      <c r="T32" s="22"/>
    </row>
    <row r="33" spans="1:20" ht="15.75" customHeight="1">
      <c r="A33" s="22"/>
      <c r="B33" s="22"/>
      <c r="C33" s="1"/>
      <c r="D33" s="15" t="str">
        <f ca="1">IFERROR(__xludf.DUMMYFUNCTION("""COMPUTED_VALUE"""),"Pham, K [Stochastic]")</f>
        <v>Pham, K [Stochastic]</v>
      </c>
      <c r="E33" s="16"/>
      <c r="F33" s="1"/>
      <c r="G33" s="22"/>
      <c r="H33" s="22"/>
      <c r="I33" s="1"/>
      <c r="J33" s="22"/>
      <c r="K33" s="22"/>
      <c r="L33" s="1"/>
      <c r="M33" s="22"/>
      <c r="N33" s="22"/>
      <c r="P33" s="22"/>
      <c r="Q33" s="22"/>
      <c r="S33" s="22"/>
      <c r="T33" s="22"/>
    </row>
    <row r="34" spans="1:20" ht="15.75" customHeight="1">
      <c r="A34" s="22"/>
      <c r="B34" s="22"/>
      <c r="C34" s="1"/>
      <c r="D34" s="15" t="str">
        <f ca="1">IFERROR(__xludf.DUMMYFUNCTION("""COMPUTED_VALUE"""),"Stuver, A [Burst]")</f>
        <v>Stuver, A [Burst]</v>
      </c>
      <c r="E34" s="16"/>
      <c r="F34" s="1"/>
      <c r="G34" s="22"/>
      <c r="H34" s="22"/>
      <c r="I34" s="1"/>
      <c r="J34" s="22"/>
      <c r="K34" s="22"/>
      <c r="L34" s="1"/>
      <c r="M34" s="22"/>
      <c r="N34" s="22"/>
      <c r="P34" s="22"/>
      <c r="Q34" s="22"/>
      <c r="S34" s="22"/>
      <c r="T34" s="22"/>
    </row>
    <row r="35" spans="1:20" ht="15.75" customHeight="1">
      <c r="A35" s="22"/>
      <c r="B35" s="22"/>
      <c r="C35" s="1"/>
      <c r="D35" s="15" t="str">
        <f ca="1">IFERROR(__xludf.DUMMYFUNCTION("""COMPUTED_VALUE"""),"Trevor, M [CBC]")</f>
        <v>Trevor, M [CBC]</v>
      </c>
      <c r="E35" s="16"/>
      <c r="F35" s="1"/>
      <c r="G35" s="22"/>
      <c r="H35" s="22"/>
      <c r="I35" s="1"/>
      <c r="J35" s="22"/>
      <c r="K35" s="22"/>
      <c r="L35" s="1"/>
      <c r="M35" s="22"/>
      <c r="N35" s="22"/>
      <c r="P35" s="22"/>
      <c r="Q35" s="22"/>
      <c r="S35" s="22"/>
      <c r="T35" s="22"/>
    </row>
  </sheetData>
  <mergeCells count="24">
    <mergeCell ref="D17:E17"/>
    <mergeCell ref="D21:E21"/>
    <mergeCell ref="D24:E24"/>
    <mergeCell ref="D27:E27"/>
    <mergeCell ref="D30:E30"/>
    <mergeCell ref="P1:Q1"/>
    <mergeCell ref="S1:T1"/>
    <mergeCell ref="P13:Q13"/>
    <mergeCell ref="S13:T13"/>
    <mergeCell ref="A16:B16"/>
    <mergeCell ref="P16:Q16"/>
    <mergeCell ref="S16:T16"/>
    <mergeCell ref="A4:B4"/>
    <mergeCell ref="D4:E4"/>
    <mergeCell ref="G4:H4"/>
    <mergeCell ref="S4:T4"/>
    <mergeCell ref="D7:E7"/>
    <mergeCell ref="D12:E12"/>
    <mergeCell ref="A13:B13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T16"/>
  <sheetViews>
    <sheetView workbookViewId="0"/>
  </sheetViews>
  <sheetFormatPr baseColWidth="10" defaultColWidth="12.6640625" defaultRowHeight="15.75" customHeight="1"/>
  <cols>
    <col min="3" max="3" width="4.1640625" customWidth="1"/>
    <col min="6" max="6" width="4.1640625" customWidth="1"/>
    <col min="9" max="9" width="4.1640625" customWidth="1"/>
    <col min="12" max="12" width="4.1640625" customWidth="1"/>
    <col min="15" max="15" width="4.1640625" customWidth="1"/>
    <col min="18" max="18" width="4.1640625" customWidth="1"/>
  </cols>
  <sheetData>
    <row r="1" spans="1:20" ht="15.75" customHeight="1">
      <c r="A1" s="61" t="s">
        <v>14</v>
      </c>
      <c r="B1" s="56"/>
      <c r="C1" s="12"/>
      <c r="D1" s="61" t="s">
        <v>19</v>
      </c>
      <c r="E1" s="56"/>
      <c r="F1" s="12"/>
      <c r="G1" s="61" t="s">
        <v>76</v>
      </c>
      <c r="H1" s="56"/>
      <c r="I1" s="12"/>
      <c r="J1" s="61" t="s">
        <v>24</v>
      </c>
      <c r="K1" s="56"/>
      <c r="L1" s="12"/>
      <c r="M1" s="61" t="s">
        <v>29</v>
      </c>
      <c r="N1" s="56"/>
      <c r="P1" s="13"/>
      <c r="Q1" s="13"/>
      <c r="S1" s="13"/>
      <c r="T1" s="13"/>
    </row>
    <row r="2" spans="1:20" ht="15.75" customHeight="1">
      <c r="A2" s="7" t="str">
        <f ca="1">IFERROR(__xludf.DUMMYFUNCTION("TRANSPOSE(QUERY(Current!$A$2:$F1000,CONCATENATE(""select A where (D='"",A1,""' and E='Chair')"")))"),"Cominsky, L")</f>
        <v>Cominsky, L</v>
      </c>
      <c r="B2" s="9" t="str">
        <f ca="1">IFERROR(__xludf.DUMMYFUNCTION("""COMPUTED_VALUE"""),"Strunk, A")</f>
        <v>Strunk, A</v>
      </c>
      <c r="C2" s="1"/>
      <c r="D2" s="7" t="str">
        <f ca="1">IFERROR(__xludf.DUMMYFUNCTION("TRANSPOSE(QUERY(Current!$A$2:$F1000,CONCATENATE(""select A where (D='"",D1,""' and E='Chair')"")))"),"Stuver, A")</f>
        <v>Stuver, A</v>
      </c>
      <c r="E2" s="9"/>
      <c r="F2" s="1"/>
      <c r="G2" s="7" t="str">
        <f ca="1">IFERROR(__xludf.DUMMYFUNCTION("TRANSPOSE(QUERY(Current!$A$2:$F1000,CONCATENATE(""select A where (D='"",G1,""' and E='Chair')"")))"),"#N/A")</f>
        <v>#N/A</v>
      </c>
      <c r="H2" s="9"/>
      <c r="I2" s="1"/>
      <c r="J2" s="7" t="str">
        <f ca="1">IFERROR(__xludf.DUMMYFUNCTION("TRANSPOSE(QUERY(Current!$A$2:$F1000,CONCATENATE(""select A where (D='"",J1,""' and E='Chair')"")))"),"Favata, M")</f>
        <v>Favata, M</v>
      </c>
      <c r="K2" s="9"/>
      <c r="L2" s="1"/>
      <c r="M2" s="57" t="str">
        <f ca="1">IFERROR(__xludf.DUMMYFUNCTION("TRANSPOSE(QUERY(Current!$A$2:$F1000,CONCATENATE(""select A where (D='"",M1,""' and E='Chair')"")))"),"#N/A")</f>
        <v>#N/A</v>
      </c>
      <c r="N2" s="56"/>
    </row>
    <row r="3" spans="1:20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0" ht="15.75" customHeight="1">
      <c r="A4" s="9"/>
      <c r="B4" s="9"/>
      <c r="C4" s="1"/>
      <c r="D4" s="9"/>
      <c r="E4" s="22"/>
      <c r="F4" s="1"/>
      <c r="G4" s="9"/>
      <c r="H4" s="22"/>
      <c r="I4" s="1"/>
      <c r="J4" s="9"/>
      <c r="K4" s="22"/>
      <c r="L4" s="1"/>
      <c r="M4" s="9"/>
      <c r="N4" s="22"/>
    </row>
    <row r="5" spans="1:20" ht="15.75" customHeight="1">
      <c r="A5" s="23"/>
      <c r="B5" s="9"/>
      <c r="C5" s="1"/>
      <c r="D5" s="9"/>
      <c r="E5" s="9"/>
      <c r="F5" s="1"/>
      <c r="G5" s="9"/>
      <c r="H5" s="9"/>
      <c r="I5" s="1"/>
      <c r="J5" s="9"/>
      <c r="K5" s="9"/>
      <c r="L5" s="1"/>
      <c r="M5" s="9"/>
      <c r="N5" s="9"/>
    </row>
    <row r="6" spans="1:20" ht="15.75" customHeight="1">
      <c r="A6" s="9"/>
      <c r="B6" s="9"/>
      <c r="C6" s="1"/>
      <c r="D6" s="9"/>
      <c r="E6" s="9"/>
      <c r="F6" s="1"/>
      <c r="G6" s="9"/>
      <c r="H6" s="9"/>
      <c r="I6" s="1"/>
      <c r="J6" s="9"/>
      <c r="K6" s="9"/>
      <c r="L6" s="1"/>
      <c r="M6" s="9"/>
      <c r="N6" s="9"/>
    </row>
    <row r="7" spans="1:20" ht="15.75" customHeight="1">
      <c r="A7" s="22"/>
      <c r="B7" s="22"/>
      <c r="C7" s="1"/>
      <c r="D7" s="22"/>
      <c r="E7" s="22"/>
      <c r="F7" s="1"/>
      <c r="G7" s="22"/>
      <c r="H7" s="22"/>
      <c r="I7" s="1"/>
      <c r="J7" s="22"/>
      <c r="K7" s="22"/>
      <c r="L7" s="1"/>
      <c r="M7" s="22"/>
      <c r="N7" s="22"/>
      <c r="P7" s="13"/>
      <c r="Q7" s="13"/>
      <c r="S7" s="13"/>
      <c r="T7" s="13"/>
    </row>
    <row r="8" spans="1:20" ht="15.75" customHeight="1">
      <c r="A8" s="9"/>
      <c r="B8" s="9"/>
      <c r="C8" s="1"/>
      <c r="D8" s="9"/>
      <c r="E8" s="9"/>
      <c r="F8" s="1"/>
      <c r="G8" s="9"/>
      <c r="H8" s="9"/>
      <c r="I8" s="1"/>
      <c r="J8" s="9"/>
      <c r="K8" s="9"/>
      <c r="L8" s="1"/>
      <c r="M8" s="9"/>
      <c r="N8" s="9"/>
    </row>
    <row r="9" spans="1:20" ht="15.75" customHeight="1">
      <c r="A9" s="9"/>
      <c r="B9" s="9"/>
      <c r="C9" s="1"/>
      <c r="D9" s="9"/>
      <c r="E9" s="9"/>
      <c r="F9" s="1"/>
      <c r="G9" s="9"/>
      <c r="H9" s="9"/>
      <c r="I9" s="1"/>
      <c r="J9" s="9"/>
      <c r="K9" s="9"/>
      <c r="L9" s="1"/>
      <c r="M9" s="9"/>
      <c r="N9" s="9"/>
    </row>
    <row r="10" spans="1:20" ht="15.75" customHeight="1">
      <c r="A10" s="57"/>
      <c r="B10" s="56"/>
      <c r="C10" s="1"/>
      <c r="D10" s="22"/>
      <c r="E10" s="22"/>
      <c r="F10" s="1"/>
      <c r="G10" s="22"/>
      <c r="H10" s="22"/>
      <c r="I10" s="1"/>
      <c r="J10" s="22"/>
      <c r="K10" s="22"/>
      <c r="L10" s="1"/>
      <c r="M10" s="22"/>
      <c r="N10" s="22"/>
      <c r="P10" s="13"/>
      <c r="Q10" s="13"/>
      <c r="S10" s="13"/>
      <c r="T10" s="13"/>
    </row>
    <row r="11" spans="1:20" ht="15.75" customHeight="1">
      <c r="A11" s="9"/>
      <c r="B11" s="9"/>
      <c r="C11" s="1"/>
      <c r="D11" s="9"/>
      <c r="E11" s="9"/>
      <c r="F11" s="1"/>
      <c r="G11" s="9"/>
      <c r="H11" s="9"/>
      <c r="I11" s="1"/>
      <c r="J11" s="9"/>
      <c r="K11" s="9"/>
      <c r="L11" s="1"/>
      <c r="M11" s="9"/>
      <c r="N11" s="9"/>
    </row>
    <row r="12" spans="1:20" ht="15.75" customHeight="1">
      <c r="A12" s="9"/>
      <c r="B12" s="9"/>
      <c r="C12" s="1"/>
      <c r="D12" s="9"/>
      <c r="E12" s="9"/>
      <c r="F12" s="1"/>
      <c r="G12" s="9"/>
      <c r="H12" s="9"/>
      <c r="I12" s="1"/>
      <c r="J12" s="9"/>
      <c r="K12" s="9"/>
      <c r="L12" s="1"/>
      <c r="M12" s="9"/>
      <c r="N12" s="9"/>
    </row>
    <row r="13" spans="1:20" ht="15.75" customHeight="1">
      <c r="A13" s="57"/>
      <c r="B13" s="56"/>
      <c r="C13" s="1"/>
      <c r="D13" s="22"/>
      <c r="E13" s="22"/>
      <c r="F13" s="1"/>
      <c r="G13" s="22"/>
      <c r="H13" s="22"/>
      <c r="I13" s="1"/>
      <c r="J13" s="22"/>
      <c r="K13" s="22"/>
      <c r="L13" s="1"/>
      <c r="M13" s="22"/>
      <c r="N13" s="22"/>
      <c r="P13" s="13"/>
      <c r="Q13" s="13"/>
      <c r="S13" s="13"/>
      <c r="T13" s="13"/>
    </row>
    <row r="14" spans="1:20" ht="15.75" customHeight="1">
      <c r="A14" s="9"/>
      <c r="B14" s="9"/>
      <c r="C14" s="1"/>
      <c r="D14" s="9"/>
      <c r="E14" s="9"/>
      <c r="F14" s="1"/>
      <c r="G14" s="9"/>
      <c r="H14" s="9"/>
      <c r="I14" s="1"/>
      <c r="J14" s="9"/>
      <c r="K14" s="9"/>
      <c r="L14" s="1"/>
      <c r="M14" s="9"/>
      <c r="N14" s="9"/>
    </row>
    <row r="15" spans="1:20" ht="15.75" customHeight="1">
      <c r="A15" s="9"/>
      <c r="B15" s="9"/>
      <c r="C15" s="1"/>
      <c r="D15" s="9"/>
      <c r="E15" s="9"/>
      <c r="F15" s="1"/>
      <c r="G15" s="9"/>
      <c r="H15" s="9"/>
      <c r="I15" s="1"/>
      <c r="J15" s="9"/>
      <c r="K15" s="9"/>
      <c r="L15" s="1"/>
      <c r="M15" s="9"/>
      <c r="N15" s="9"/>
    </row>
    <row r="16" spans="1:20" ht="15.75" customHeight="1">
      <c r="A16" s="22"/>
      <c r="B16" s="22"/>
      <c r="C16" s="1"/>
      <c r="D16" s="22"/>
      <c r="E16" s="22"/>
      <c r="F16" s="1"/>
      <c r="G16" s="22"/>
      <c r="H16" s="22"/>
      <c r="I16" s="1"/>
      <c r="J16" s="22"/>
      <c r="K16" s="22"/>
      <c r="L16" s="1"/>
      <c r="M16" s="22"/>
      <c r="N16" s="22"/>
      <c r="P16" s="13"/>
      <c r="Q16" s="13"/>
      <c r="S16" s="13"/>
      <c r="T16" s="13"/>
    </row>
  </sheetData>
  <mergeCells count="8">
    <mergeCell ref="M2:N2"/>
    <mergeCell ref="A10:B10"/>
    <mergeCell ref="A13:B13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23"/>
  <sheetViews>
    <sheetView workbookViewId="0"/>
  </sheetViews>
  <sheetFormatPr baseColWidth="10" defaultColWidth="12.6640625" defaultRowHeight="15.75" customHeight="1"/>
  <cols>
    <col min="3" max="3" width="4.1640625" customWidth="1"/>
    <col min="6" max="6" width="4.1640625" customWidth="1"/>
    <col min="9" max="9" width="4.1640625" customWidth="1"/>
    <col min="12" max="12" width="4.1640625" customWidth="1"/>
    <col min="15" max="15" width="4.1640625" customWidth="1"/>
    <col min="18" max="18" width="4.1640625" customWidth="1"/>
  </cols>
  <sheetData>
    <row r="1" spans="1:26" ht="15.75" customHeight="1">
      <c r="A1" s="61" t="s">
        <v>15</v>
      </c>
      <c r="B1" s="56"/>
      <c r="C1" s="12"/>
      <c r="D1" s="61" t="s">
        <v>20</v>
      </c>
      <c r="E1" s="56"/>
      <c r="F1" s="12"/>
      <c r="G1" s="61" t="s">
        <v>25</v>
      </c>
      <c r="H1" s="56"/>
      <c r="I1" s="12"/>
      <c r="J1" s="61" t="s">
        <v>30</v>
      </c>
      <c r="K1" s="56"/>
      <c r="L1" s="12"/>
      <c r="M1" s="61" t="s">
        <v>33</v>
      </c>
      <c r="N1" s="56"/>
      <c r="O1" s="21"/>
      <c r="P1" s="61" t="s">
        <v>36</v>
      </c>
      <c r="Q1" s="56"/>
      <c r="R1" s="21"/>
      <c r="S1" s="61" t="s">
        <v>38</v>
      </c>
      <c r="T1" s="56"/>
      <c r="U1" s="21"/>
      <c r="V1" s="21"/>
      <c r="W1" s="21"/>
      <c r="X1" s="21"/>
      <c r="Y1" s="21"/>
      <c r="Z1" s="21"/>
    </row>
    <row r="2" spans="1:26" ht="15.75" customHeight="1">
      <c r="A2" s="7" t="str">
        <f ca="1">IFERROR(__xludf.DUMMYFUNCTION("TRANSPOSE(QUERY(Current!$A$2:$F1000,CONCATENATE(""select A where (D='"",A1,""' and E='Chair')"")))"),"Frey, R")</f>
        <v>Frey, R</v>
      </c>
      <c r="B2" s="9"/>
      <c r="C2" s="1"/>
      <c r="D2" s="7" t="str">
        <f ca="1">IFERROR(__xludf.DUMMYFUNCTION("TRANSPOSE(QUERY(Current!$A$2:$F1000,CONCATENATE(""select A where (D='"",D1,""' and E='Chair')"")))"),"Heng, I")</f>
        <v>Heng, I</v>
      </c>
      <c r="E2" s="9"/>
      <c r="F2" s="1"/>
      <c r="G2" s="7" t="str">
        <f ca="1">IFERROR(__xludf.DUMMYFUNCTION("TRANSPOSE(QUERY(Current!$A$2:$F1000,CONCATENATE(""select A where (D='"",G1,""' and E='Chair')"")))"),"Hammond, G")</f>
        <v>Hammond, G</v>
      </c>
      <c r="H2" s="9" t="str">
        <f ca="1">IFERROR(__xludf.DUMMYFUNCTION("""COMPUTED_VALUE"""),"Whelan, J")</f>
        <v>Whelan, J</v>
      </c>
      <c r="I2" s="1"/>
      <c r="J2" s="7" t="str">
        <f ca="1">IFERROR(__xludf.DUMMYFUNCTION("TRANSPOSE(QUERY(Current!$A$2:$F1000,CONCATENATE(""select A where (D='"",J1,""' and E='Chair')"")))"),"Fulda, P")</f>
        <v>Fulda, P</v>
      </c>
      <c r="K2" s="9" t="str">
        <f ca="1">IFERROR(__xludf.DUMMYFUNCTION("""COMPUTED_VALUE"""),"Ohme, F")</f>
        <v>Ohme, F</v>
      </c>
      <c r="L2" s="1"/>
      <c r="M2" s="57" t="str">
        <f ca="1">IFERROR(__xludf.DUMMYFUNCTION("TRANSPOSE(QUERY(Current!$A$2:$F1000,CONCATENATE(""select A where (D='"",M1,""' and E='Chair')"")))"),"Gonzalez, G")</f>
        <v>Gonzalez, G</v>
      </c>
      <c r="N2" s="56"/>
      <c r="P2" s="7" t="str">
        <f ca="1">IFERROR(__xludf.DUMMYFUNCTION("TRANSPOSE(QUERY(Current!$A$2:$F1000,CONCATENATE(""select A where (D='"",P1,""' and E='Chair')"")))"),"O'Shaughnessy, R")</f>
        <v>O'Shaughnessy, R</v>
      </c>
      <c r="Q2" s="9" t="str">
        <f ca="1">IFERROR(__xludf.DUMMYFUNCTION("""COMPUTED_VALUE"""),"Riles, K [MT]")</f>
        <v>Riles, K [MT]</v>
      </c>
      <c r="S2" s="7" t="str">
        <f ca="1">IFERROR(__xludf.DUMMYFUNCTION("TRANSPOSE(QUERY(Current!$A$2:$F1000,CONCATENATE(""select A where (D='"",S1,""' and E='Chair')"")))"),"Bailes, M")</f>
        <v>Bailes, M</v>
      </c>
      <c r="T2" s="9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  <c r="S3" s="1"/>
      <c r="T3" s="1"/>
    </row>
    <row r="4" spans="1:26" ht="15.75" customHeight="1">
      <c r="A4" s="9" t="str">
        <f ca="1">IFERROR(__xludf.DUMMYFUNCTION("(QUERY(Current!$A$2:$F1000,CONCATENATE(""select A where (D='"",A1,""' and E='Member')"")))"),"Eassa, C")</f>
        <v>Eassa, C</v>
      </c>
      <c r="B4" s="9"/>
      <c r="C4" s="1"/>
      <c r="D4" s="9" t="str">
        <f ca="1">IFERROR(__xludf.DUMMYFUNCTION("(QUERY(Current!$A$2:$F1000,CONCATENATE(""select A where (D='"",D1,""' and E='Member')"")))"),"#N/A")</f>
        <v>#N/A</v>
      </c>
      <c r="E4" s="22"/>
      <c r="F4" s="1"/>
      <c r="G4" s="9" t="str">
        <f ca="1">IFERROR(__xludf.DUMMYFUNCTION("(QUERY(Current!$A$2:$F1000,CONCATENATE(""select A where (D='"",G1,""' and E='Member')"")))"),"#N/A")</f>
        <v>#N/A</v>
      </c>
      <c r="H4" s="22"/>
      <c r="I4" s="1"/>
      <c r="J4" s="9" t="str">
        <f ca="1">IFERROR(__xludf.DUMMYFUNCTION("(QUERY(Current!$A$2:$F1000,CONCATENATE(""select A where (D='"",J1,""' and E='Member')"")))"),"#N/A")</f>
        <v>#N/A</v>
      </c>
      <c r="K4" s="22"/>
      <c r="L4" s="1"/>
      <c r="M4" s="9" t="str">
        <f ca="1">IFERROR(__xludf.DUMMYFUNCTION("(QUERY(Current!$A$2:$F1000,CONCATENATE(""select A where (D='"",M1,""' and E='Member')"")))"),"#N/A")</f>
        <v>#N/A</v>
      </c>
      <c r="N4" s="22"/>
      <c r="P4" s="9" t="str">
        <f ca="1">IFERROR(__xludf.DUMMYFUNCTION("(QUERY(Current!$A$2:$F1000,CONCATENATE(""select A where (D='"",P1,""' and E='Member')"")))"),"#N/A")</f>
        <v>#N/A</v>
      </c>
      <c r="Q4" s="9"/>
      <c r="S4" s="9" t="str">
        <f ca="1">IFERROR(__xludf.DUMMYFUNCTION("(QUERY(Current!$A$2:$F1000,CONCATENATE(""select A where (D='"",S1,""' and E='Member')"")))"),"#N/A")</f>
        <v>#N/A</v>
      </c>
      <c r="T4" s="9"/>
    </row>
    <row r="5" spans="1:26" ht="15.75" customHeight="1">
      <c r="A5" s="23" t="str">
        <f ca="1">IFERROR(__xludf.DUMMYFUNCTION("""COMPUTED_VALUE"""),"Shoemaker, D [Speakers]")</f>
        <v>Shoemaker, D [Speakers]</v>
      </c>
      <c r="B5" s="9"/>
      <c r="C5" s="1"/>
      <c r="D5" s="9"/>
      <c r="E5" s="9"/>
      <c r="F5" s="1"/>
      <c r="G5" s="9"/>
      <c r="H5" s="9"/>
      <c r="I5" s="1"/>
      <c r="J5" s="9"/>
      <c r="K5" s="9"/>
      <c r="L5" s="1"/>
      <c r="M5" s="9"/>
      <c r="N5" s="9"/>
      <c r="P5" s="23"/>
      <c r="Q5" s="9"/>
      <c r="S5" s="23"/>
      <c r="T5" s="9"/>
    </row>
    <row r="6" spans="1:26" ht="15.75" customHeight="1">
      <c r="A6" s="9" t="str">
        <f ca="1">IFERROR(__xludf.DUMMYFUNCTION("""COMPUTED_VALUE"""),"Steinlechner, J [LAAC]")</f>
        <v>Steinlechner, J [LAAC]</v>
      </c>
      <c r="B6" s="9"/>
      <c r="C6" s="1"/>
      <c r="D6" s="9"/>
      <c r="E6" s="9"/>
      <c r="F6" s="1"/>
      <c r="G6" s="9"/>
      <c r="H6" s="9"/>
      <c r="I6" s="1"/>
      <c r="J6" s="9"/>
      <c r="K6" s="9"/>
      <c r="L6" s="1"/>
      <c r="M6" s="9"/>
      <c r="N6" s="9"/>
      <c r="P6" s="9"/>
      <c r="Q6" s="9"/>
      <c r="S6" s="9"/>
      <c r="T6" s="9"/>
    </row>
    <row r="7" spans="1:26" ht="15.75" customHeight="1">
      <c r="A7" s="22" t="str">
        <f ca="1">IFERROR(__xludf.DUMMYFUNCTION("""COMPUTED_VALUE"""),"Walker, M")</f>
        <v>Walker, M</v>
      </c>
      <c r="B7" s="22"/>
      <c r="C7" s="1"/>
      <c r="D7" s="22"/>
      <c r="E7" s="22"/>
      <c r="F7" s="1"/>
      <c r="G7" s="22"/>
      <c r="H7" s="22"/>
      <c r="I7" s="1"/>
      <c r="J7" s="22"/>
      <c r="K7" s="22"/>
      <c r="L7" s="1"/>
      <c r="M7" s="22"/>
      <c r="N7" s="22"/>
      <c r="P7" s="22"/>
      <c r="Q7" s="22"/>
      <c r="S7" s="22"/>
      <c r="T7" s="22"/>
    </row>
    <row r="8" spans="1:26" ht="15.75" customHeight="1">
      <c r="A8" s="9" t="str">
        <f ca="1">IFERROR(__xludf.DUMMYFUNCTION("""COMPUTED_VALUE"""),"Williams, D")</f>
        <v>Williams, D</v>
      </c>
      <c r="B8" s="9"/>
      <c r="C8" s="1"/>
      <c r="D8" s="9"/>
      <c r="E8" s="9"/>
      <c r="F8" s="1"/>
      <c r="G8" s="9"/>
      <c r="H8" s="9"/>
      <c r="I8" s="1"/>
      <c r="J8" s="9"/>
      <c r="K8" s="9"/>
      <c r="L8" s="1"/>
      <c r="M8" s="9"/>
      <c r="N8" s="9"/>
      <c r="P8" s="9"/>
      <c r="Q8" s="9"/>
      <c r="S8" s="9"/>
      <c r="T8" s="9"/>
    </row>
    <row r="9" spans="1:26" ht="15.75" customHeight="1">
      <c r="A9" s="9"/>
      <c r="B9" s="9"/>
      <c r="C9" s="1"/>
      <c r="D9" s="9"/>
      <c r="E9" s="9"/>
      <c r="F9" s="1"/>
      <c r="G9" s="9"/>
      <c r="H9" s="9"/>
      <c r="I9" s="1"/>
      <c r="J9" s="9"/>
      <c r="K9" s="9"/>
      <c r="L9" s="1"/>
      <c r="M9" s="9"/>
      <c r="N9" s="9"/>
      <c r="P9" s="9"/>
      <c r="Q9" s="9"/>
      <c r="S9" s="9"/>
      <c r="T9" s="9"/>
    </row>
    <row r="10" spans="1:26" ht="15.75" customHeight="1">
      <c r="A10" s="57"/>
      <c r="B10" s="56"/>
      <c r="C10" s="1"/>
      <c r="D10" s="22"/>
      <c r="E10" s="22"/>
      <c r="F10" s="1"/>
      <c r="G10" s="22"/>
      <c r="H10" s="22"/>
      <c r="I10" s="1"/>
      <c r="J10" s="22"/>
      <c r="K10" s="22"/>
      <c r="L10" s="1"/>
      <c r="M10" s="22"/>
      <c r="N10" s="22"/>
      <c r="P10" s="57"/>
      <c r="Q10" s="56"/>
      <c r="S10" s="57"/>
      <c r="T10" s="56"/>
    </row>
    <row r="11" spans="1:26" ht="15.75" customHeight="1">
      <c r="A11" s="9"/>
      <c r="B11" s="9"/>
      <c r="C11" s="1"/>
      <c r="D11" s="9"/>
      <c r="E11" s="9"/>
      <c r="F11" s="1"/>
      <c r="G11" s="9"/>
      <c r="H11" s="9"/>
      <c r="I11" s="1"/>
      <c r="J11" s="9"/>
      <c r="K11" s="9"/>
      <c r="L11" s="1"/>
      <c r="M11" s="9"/>
      <c r="N11" s="9"/>
      <c r="P11" s="9"/>
      <c r="Q11" s="9"/>
      <c r="S11" s="9"/>
      <c r="T11" s="9"/>
    </row>
    <row r="12" spans="1:26" ht="15.75" customHeight="1">
      <c r="A12" s="9"/>
      <c r="B12" s="9"/>
      <c r="C12" s="1"/>
      <c r="D12" s="9"/>
      <c r="E12" s="9"/>
      <c r="F12" s="1"/>
      <c r="G12" s="9"/>
      <c r="H12" s="9"/>
      <c r="I12" s="1"/>
      <c r="J12" s="9"/>
      <c r="K12" s="9"/>
      <c r="L12" s="1"/>
      <c r="M12" s="9"/>
      <c r="N12" s="9"/>
      <c r="P12" s="9"/>
      <c r="Q12" s="9"/>
      <c r="S12" s="9"/>
      <c r="T12" s="9"/>
    </row>
    <row r="13" spans="1:26" ht="15.75" customHeight="1">
      <c r="A13" s="57"/>
      <c r="B13" s="56"/>
      <c r="C13" s="1"/>
      <c r="D13" s="22"/>
      <c r="E13" s="22"/>
      <c r="F13" s="1"/>
      <c r="G13" s="22"/>
      <c r="H13" s="22"/>
      <c r="I13" s="1"/>
      <c r="J13" s="22"/>
      <c r="K13" s="22"/>
      <c r="L13" s="1"/>
      <c r="M13" s="22"/>
      <c r="N13" s="22"/>
      <c r="P13" s="57"/>
      <c r="Q13" s="56"/>
      <c r="S13" s="57"/>
      <c r="T13" s="56"/>
    </row>
    <row r="14" spans="1:26" ht="15.75" customHeight="1">
      <c r="A14" s="9"/>
      <c r="B14" s="9"/>
      <c r="C14" s="1"/>
      <c r="D14" s="9"/>
      <c r="E14" s="9"/>
      <c r="F14" s="1"/>
      <c r="G14" s="9"/>
      <c r="H14" s="9"/>
      <c r="I14" s="1"/>
      <c r="J14" s="9"/>
      <c r="K14" s="9"/>
      <c r="L14" s="1"/>
      <c r="M14" s="9"/>
      <c r="N14" s="9"/>
      <c r="P14" s="9"/>
      <c r="Q14" s="9"/>
      <c r="S14" s="9"/>
      <c r="T14" s="9"/>
    </row>
    <row r="15" spans="1:26" ht="15.75" customHeight="1">
      <c r="A15" s="9"/>
      <c r="B15" s="9"/>
      <c r="C15" s="1"/>
      <c r="D15" s="9"/>
      <c r="E15" s="9"/>
      <c r="F15" s="1"/>
      <c r="G15" s="9"/>
      <c r="H15" s="9"/>
      <c r="I15" s="1"/>
      <c r="J15" s="9"/>
      <c r="K15" s="9"/>
      <c r="L15" s="1"/>
      <c r="M15" s="9"/>
      <c r="N15" s="9"/>
      <c r="P15" s="9"/>
      <c r="Q15" s="9"/>
      <c r="S15" s="9"/>
      <c r="T15" s="9"/>
    </row>
    <row r="16" spans="1:26" ht="15.75" customHeight="1">
      <c r="A16" s="22"/>
      <c r="B16" s="22"/>
      <c r="C16" s="1"/>
      <c r="D16" s="22"/>
      <c r="E16" s="22"/>
      <c r="F16" s="1"/>
      <c r="G16" s="22"/>
      <c r="H16" s="22"/>
      <c r="I16" s="1"/>
      <c r="J16" s="22"/>
      <c r="K16" s="22"/>
      <c r="L16" s="1"/>
      <c r="M16" s="22"/>
      <c r="N16" s="22"/>
      <c r="P16" s="22"/>
      <c r="Q16" s="22"/>
      <c r="S16" s="22"/>
      <c r="T16" s="22"/>
    </row>
    <row r="17" spans="1:20" ht="15.75" customHeight="1">
      <c r="A17" s="24"/>
      <c r="B17" s="24"/>
      <c r="C17" s="25"/>
      <c r="D17" s="24"/>
      <c r="E17" s="24"/>
      <c r="F17" s="25"/>
      <c r="G17" s="24"/>
      <c r="H17" s="24"/>
      <c r="I17" s="25"/>
      <c r="J17" s="24"/>
      <c r="K17" s="24"/>
      <c r="L17" s="25"/>
      <c r="M17" s="24"/>
      <c r="N17" s="24"/>
      <c r="O17" s="26"/>
      <c r="P17" s="26"/>
      <c r="Q17" s="26"/>
      <c r="R17" s="26"/>
      <c r="S17" s="26"/>
      <c r="T17" s="26"/>
    </row>
    <row r="18" spans="1:20" ht="15.75" customHeight="1">
      <c r="A18" s="24"/>
      <c r="B18" s="24"/>
      <c r="C18" s="25"/>
      <c r="D18" s="24"/>
      <c r="E18" s="24"/>
      <c r="F18" s="25"/>
      <c r="G18" s="24"/>
      <c r="H18" s="24"/>
      <c r="I18" s="25"/>
      <c r="J18" s="24"/>
      <c r="K18" s="24"/>
      <c r="L18" s="25"/>
      <c r="M18" s="24"/>
      <c r="N18" s="24"/>
      <c r="O18" s="26"/>
      <c r="P18" s="26"/>
      <c r="Q18" s="26"/>
      <c r="R18" s="26"/>
      <c r="S18" s="26"/>
      <c r="T18" s="26"/>
    </row>
    <row r="19" spans="1:20" ht="15.75" customHeight="1">
      <c r="A19" s="24"/>
      <c r="B19" s="24"/>
      <c r="C19" s="25"/>
      <c r="D19" s="27"/>
      <c r="E19" s="27"/>
      <c r="F19" s="25"/>
      <c r="G19" s="27"/>
      <c r="H19" s="27"/>
      <c r="I19" s="25"/>
      <c r="J19" s="27"/>
      <c r="K19" s="27"/>
      <c r="L19" s="25"/>
      <c r="M19" s="27"/>
      <c r="N19" s="27"/>
      <c r="O19" s="26"/>
      <c r="P19" s="26"/>
      <c r="Q19" s="26"/>
      <c r="R19" s="26"/>
      <c r="S19" s="26"/>
      <c r="T19" s="26"/>
    </row>
    <row r="20" spans="1:20" ht="15.75" customHeight="1">
      <c r="A20" s="24"/>
      <c r="B20" s="24"/>
      <c r="C20" s="25"/>
      <c r="D20" s="24"/>
      <c r="E20" s="24"/>
      <c r="F20" s="25"/>
      <c r="G20" s="24"/>
      <c r="H20" s="24"/>
      <c r="I20" s="25"/>
      <c r="J20" s="24"/>
      <c r="K20" s="24"/>
      <c r="L20" s="25"/>
      <c r="M20" s="24"/>
      <c r="N20" s="24"/>
      <c r="O20" s="26"/>
      <c r="P20" s="26"/>
      <c r="Q20" s="26"/>
      <c r="R20" s="26"/>
      <c r="S20" s="26"/>
      <c r="T20" s="26"/>
    </row>
    <row r="21" spans="1:20" ht="15.75" customHeight="1">
      <c r="A21" s="24"/>
      <c r="B21" s="24"/>
      <c r="C21" s="25"/>
      <c r="D21" s="24"/>
      <c r="E21" s="24"/>
      <c r="F21" s="25"/>
      <c r="G21" s="24"/>
      <c r="H21" s="24"/>
      <c r="I21" s="25"/>
      <c r="J21" s="24"/>
      <c r="K21" s="24"/>
      <c r="L21" s="25"/>
      <c r="M21" s="24"/>
      <c r="N21" s="24"/>
      <c r="O21" s="26"/>
      <c r="P21" s="26"/>
      <c r="Q21" s="26"/>
      <c r="R21" s="26"/>
      <c r="S21" s="26"/>
      <c r="T21" s="26"/>
    </row>
    <row r="22" spans="1:20" ht="15.75" customHeight="1">
      <c r="A22" s="24"/>
      <c r="B22" s="24"/>
      <c r="C22" s="25"/>
      <c r="D22" s="24"/>
      <c r="E22" s="24"/>
      <c r="F22" s="25"/>
      <c r="G22" s="27"/>
      <c r="H22" s="27"/>
      <c r="I22" s="25"/>
      <c r="J22" s="24"/>
      <c r="K22" s="24"/>
      <c r="L22" s="25"/>
      <c r="M22" s="27"/>
      <c r="N22" s="27"/>
      <c r="O22" s="26"/>
      <c r="P22" s="26"/>
      <c r="Q22" s="26"/>
      <c r="R22" s="26"/>
      <c r="S22" s="26"/>
      <c r="T22" s="26"/>
    </row>
    <row r="23" spans="1:20" ht="15.75" customHeight="1">
      <c r="A23" s="24"/>
      <c r="B23" s="24"/>
      <c r="C23" s="25"/>
      <c r="D23" s="24"/>
      <c r="E23" s="24"/>
      <c r="F23" s="25"/>
      <c r="G23" s="24"/>
      <c r="H23" s="24"/>
      <c r="I23" s="25"/>
      <c r="J23" s="24"/>
      <c r="K23" s="24"/>
      <c r="L23" s="25"/>
      <c r="M23" s="24"/>
      <c r="N23" s="24"/>
      <c r="O23" s="26"/>
      <c r="P23" s="26"/>
      <c r="Q23" s="26"/>
      <c r="R23" s="26"/>
      <c r="S23" s="26"/>
      <c r="T23" s="26"/>
    </row>
  </sheetData>
  <mergeCells count="14">
    <mergeCell ref="A1:B1"/>
    <mergeCell ref="A10:B10"/>
    <mergeCell ref="A13:B13"/>
    <mergeCell ref="P10:Q10"/>
    <mergeCell ref="S10:T10"/>
    <mergeCell ref="P13:Q13"/>
    <mergeCell ref="S13:T13"/>
    <mergeCell ref="D1:E1"/>
    <mergeCell ref="G1:H1"/>
    <mergeCell ref="J1:K1"/>
    <mergeCell ref="M1:N1"/>
    <mergeCell ref="P1:Q1"/>
    <mergeCell ref="S1:T1"/>
    <mergeCell ref="M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100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640625" defaultRowHeight="15.75" customHeight="1"/>
  <cols>
    <col min="4" max="4" width="27.5" customWidth="1"/>
  </cols>
  <sheetData>
    <row r="1" spans="1:27" ht="15.75" customHeight="1">
      <c r="A1" s="28" t="s">
        <v>77</v>
      </c>
      <c r="B1" s="29" t="s">
        <v>78</v>
      </c>
      <c r="C1" s="29" t="s">
        <v>79</v>
      </c>
      <c r="D1" s="29" t="s">
        <v>80</v>
      </c>
      <c r="E1" s="29" t="s">
        <v>81</v>
      </c>
      <c r="F1" s="29" t="s">
        <v>82</v>
      </c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5.75" customHeight="1">
      <c r="A2" s="32" t="str">
        <f t="shared" ref="A2:A200" ca="1" si="0">HYPERLINK($G2,CONCATENATE($B2,", ",LEFT($C2,1),IF($F2&lt;&gt;"",CONCATENATE(" [",$F2,"]"),"")))</f>
        <v>Agathos, M</v>
      </c>
      <c r="B2" s="33" t="str">
        <f ca="1">IFERROR(__xludf.DUMMYFUNCTION("SORT(QUERY(All!$A$2:$J1001,""select A, B, H, I, J, C where F='yes'""))"),"Agathos")</f>
        <v>Agathos</v>
      </c>
      <c r="C2" s="33" t="str">
        <f ca="1">IFERROR(__xludf.DUMMYFUNCTION("""COMPUTED_VALUE"""),"Michalis")</f>
        <v>Michalis</v>
      </c>
      <c r="D2" s="33" t="str">
        <f ca="1">IFERROR(__xludf.DUMMYFUNCTION("""COMPUTED_VALUE"""),"Testing GR Subgroup CBC")</f>
        <v>Testing GR Subgroup CBC</v>
      </c>
      <c r="E2" s="33" t="str">
        <f ca="1">IFERROR(__xludf.DUMMYFUNCTION("""COMPUTED_VALUE"""),"Chair")</f>
        <v>Chair</v>
      </c>
      <c r="F2" s="33"/>
      <c r="G2" s="34" t="str">
        <f ca="1">IFERROR(__xludf.DUMMYFUNCTION("""COMPUTED_VALUE"""),"michalis.agathos@ligo.org")</f>
        <v>michalis.agathos@ligo.org</v>
      </c>
    </row>
    <row r="3" spans="1:27" ht="15.75" customHeight="1">
      <c r="A3" s="34" t="str">
        <f t="shared" ca="1" si="0"/>
        <v>Areeda, J [Lead]</v>
      </c>
      <c r="B3" s="33" t="str">
        <f ca="1">IFERROR(__xludf.DUMMYFUNCTION("""COMPUTED_VALUE"""),"Areeda")</f>
        <v>Areeda</v>
      </c>
      <c r="C3" s="33" t="str">
        <f ca="1">IFERROR(__xludf.DUMMYFUNCTION("""COMPUTED_VALUE"""),"Joe")</f>
        <v>Joe</v>
      </c>
      <c r="D3" s="33" t="str">
        <f ca="1">IFERROR(__xludf.DUMMYFUNCTION("""COMPUTED_VALUE"""),"Computing Leads Detchar")</f>
        <v>Computing Leads Detchar</v>
      </c>
      <c r="E3" s="33" t="str">
        <f ca="1">IFERROR(__xludf.DUMMYFUNCTION("""COMPUTED_VALUE"""),"Lead")</f>
        <v>Lead</v>
      </c>
      <c r="F3" s="33" t="str">
        <f ca="1">IFERROR(__xludf.DUMMYFUNCTION("""COMPUTED_VALUE"""),"Lead")</f>
        <v>Lead</v>
      </c>
      <c r="G3" s="34"/>
    </row>
    <row r="4" spans="1:27" ht="15.75" customHeight="1">
      <c r="A4" s="34" t="str">
        <f t="shared" ca="1" si="0"/>
        <v>Ashton, G [MT]</v>
      </c>
      <c r="B4" s="33" t="str">
        <f ca="1">IFERROR(__xludf.DUMMYFUNCTION("""COMPUTED_VALUE"""),"Ashton")</f>
        <v>Ashton</v>
      </c>
      <c r="C4" s="33" t="str">
        <f ca="1">IFERROR(__xludf.DUMMYFUNCTION("""COMPUTED_VALUE"""),"Gregory")</f>
        <v>Gregory</v>
      </c>
      <c r="D4" s="33" t="str">
        <f ca="1">IFERROR(__xludf.DUMMYFUNCTION("""COMPUTED_VALUE"""),"Compact Binaries WG")</f>
        <v>Compact Binaries WG</v>
      </c>
      <c r="E4" s="33" t="str">
        <f ca="1">IFERROR(__xludf.DUMMYFUNCTION("""COMPUTED_VALUE"""),"Chair")</f>
        <v>Chair</v>
      </c>
      <c r="F4" s="33" t="str">
        <f ca="1">IFERROR(__xludf.DUMMYFUNCTION("""COMPUTED_VALUE"""),"MT")</f>
        <v>MT</v>
      </c>
      <c r="G4" s="34"/>
    </row>
    <row r="5" spans="1:27" ht="15.75" customHeight="1">
      <c r="A5" s="34" t="str">
        <f t="shared" ca="1" si="0"/>
        <v>Bailes, M</v>
      </c>
      <c r="B5" s="33" t="str">
        <f ca="1">IFERROR(__xludf.DUMMYFUNCTION("""COMPUTED_VALUE"""),"Bailes")</f>
        <v>Bailes</v>
      </c>
      <c r="C5" s="33" t="str">
        <f ca="1">IFERROR(__xludf.DUMMYFUNCTION("""COMPUTED_VALUE"""),"Matthew")</f>
        <v>Matthew</v>
      </c>
      <c r="D5" s="33" t="str">
        <f ca="1">IFERROR(__xludf.DUMMYFUNCTION("""COMPUTED_VALUE"""),"Standards &amp; Conduct Committee")</f>
        <v>Standards &amp; Conduct Committee</v>
      </c>
      <c r="E5" s="33" t="str">
        <f ca="1">IFERROR(__xludf.DUMMYFUNCTION("""COMPUTED_VALUE"""),"Chair")</f>
        <v>Chair</v>
      </c>
      <c r="F5" s="33"/>
      <c r="G5" s="34"/>
    </row>
    <row r="6" spans="1:27" ht="15.75" customHeight="1">
      <c r="A6" s="34" t="str">
        <f t="shared" ca="1" si="0"/>
        <v>Ballmer, S [MT]</v>
      </c>
      <c r="B6" s="33" t="str">
        <f ca="1">IFERROR(__xludf.DUMMYFUNCTION("""COMPUTED_VALUE"""),"Ballmer")</f>
        <v>Ballmer</v>
      </c>
      <c r="C6" s="33" t="str">
        <f ca="1">IFERROR(__xludf.DUMMYFUNCTION("""COMPUTED_VALUE"""),"Stefan")</f>
        <v>Stefan</v>
      </c>
      <c r="D6" s="33" t="str">
        <f ca="1">IFERROR(__xludf.DUMMYFUNCTION("""COMPUTED_VALUE"""),"Program Committee")</f>
        <v>Program Committee</v>
      </c>
      <c r="E6" s="33" t="str">
        <f ca="1">IFERROR(__xludf.DUMMYFUNCTION("""COMPUTED_VALUE"""),"Chair")</f>
        <v>Chair</v>
      </c>
      <c r="F6" s="33" t="str">
        <f ca="1">IFERROR(__xludf.DUMMYFUNCTION("""COMPUTED_VALUE"""),"MT")</f>
        <v>MT</v>
      </c>
      <c r="G6" s="34"/>
    </row>
    <row r="7" spans="1:27" ht="15.75" customHeight="1">
      <c r="A7" s="34" t="str">
        <f t="shared" ca="1" si="0"/>
        <v>Barsotti, L</v>
      </c>
      <c r="B7" s="33" t="str">
        <f ca="1">IFERROR(__xludf.DUMMYFUNCTION("""COMPUTED_VALUE"""),"Barsotti")</f>
        <v>Barsotti</v>
      </c>
      <c r="C7" s="33" t="str">
        <f ca="1">IFERROR(__xludf.DUMMYFUNCTION("""COMPUTED_VALUE"""),"Lisa")</f>
        <v>Lisa</v>
      </c>
      <c r="D7" s="33" t="str">
        <f ca="1">IFERROR(__xludf.DUMMYFUNCTION("""COMPUTED_VALUE"""),"Program Committee")</f>
        <v>Program Committee</v>
      </c>
      <c r="E7" s="33" t="str">
        <f ca="1">IFERROR(__xludf.DUMMYFUNCTION("""COMPUTED_VALUE"""),"Member")</f>
        <v>Member</v>
      </c>
      <c r="F7" s="33"/>
      <c r="G7" s="34"/>
    </row>
    <row r="8" spans="1:27" ht="15.75" customHeight="1">
      <c r="A8" s="34" t="str">
        <f t="shared" ca="1" si="0"/>
        <v>Becsy, B [BayesWave]</v>
      </c>
      <c r="B8" s="33" t="str">
        <f ca="1">IFERROR(__xludf.DUMMYFUNCTION("""COMPUTED_VALUE"""),"Becsy")</f>
        <v>Becsy</v>
      </c>
      <c r="C8" s="33" t="str">
        <f ca="1">IFERROR(__xludf.DUMMYFUNCTION("""COMPUTED_VALUE"""),"Bence")</f>
        <v>Bence</v>
      </c>
      <c r="D8" s="33" t="str">
        <f ca="1">IFERROR(__xludf.DUMMYFUNCTION("""COMPUTED_VALUE"""),"Burst Pipeline Support, R&amp;D")</f>
        <v>Burst Pipeline Support, R&amp;D</v>
      </c>
      <c r="E8" s="33" t="str">
        <f ca="1">IFERROR(__xludf.DUMMYFUNCTION("""COMPUTED_VALUE"""),"Chair")</f>
        <v>Chair</v>
      </c>
      <c r="F8" s="33" t="str">
        <f ca="1">IFERROR(__xludf.DUMMYFUNCTION("""COMPUTED_VALUE"""),"BayesWave")</f>
        <v>BayesWave</v>
      </c>
      <c r="G8" s="34"/>
    </row>
    <row r="9" spans="1:27" ht="15.75" customHeight="1">
      <c r="A9" s="34" t="str">
        <f t="shared" ca="1" si="0"/>
        <v>Berger, B</v>
      </c>
      <c r="B9" s="33" t="str">
        <f ca="1">IFERROR(__xludf.DUMMYFUNCTION("""COMPUTED_VALUE"""),"Berger")</f>
        <v>Berger</v>
      </c>
      <c r="C9" s="33" t="str">
        <f ca="1">IFERROR(__xludf.DUMMYFUNCTION("""COMPUTED_VALUE"""),"Beverly")</f>
        <v>Beverly</v>
      </c>
      <c r="D9" s="33" t="str">
        <f ca="1">IFERROR(__xludf.DUMMYFUNCTION("""COMPUTED_VALUE"""),"DQ Shifts Detchar")</f>
        <v>DQ Shifts Detchar</v>
      </c>
      <c r="E9" s="33" t="str">
        <f ca="1">IFERROR(__xludf.DUMMYFUNCTION("""COMPUTED_VALUE"""),"Lead")</f>
        <v>Lead</v>
      </c>
      <c r="F9" s="33"/>
      <c r="G9" s="34"/>
    </row>
    <row r="10" spans="1:27" ht="15.75" customHeight="1">
      <c r="A10" s="34" t="str">
        <f t="shared" ca="1" si="0"/>
        <v>Berry, C</v>
      </c>
      <c r="B10" s="33" t="str">
        <f ca="1">IFERROR(__xludf.DUMMYFUNCTION("""COMPUTED_VALUE"""),"Berry")</f>
        <v>Berry</v>
      </c>
      <c r="C10" s="33" t="str">
        <f ca="1">IFERROR(__xludf.DUMMYFUNCTION("""COMPUTED_VALUE"""),"Christopher")</f>
        <v>Christopher</v>
      </c>
      <c r="D10" s="33" t="str">
        <f ca="1">IFERROR(__xludf.DUMMYFUNCTION("""COMPUTED_VALUE"""),"Program Committee")</f>
        <v>Program Committee</v>
      </c>
      <c r="E10" s="33" t="str">
        <f ca="1">IFERROR(__xludf.DUMMYFUNCTION("""COMPUTED_VALUE"""),"Member")</f>
        <v>Member</v>
      </c>
      <c r="F10" s="33"/>
      <c r="G10" s="34"/>
    </row>
    <row r="11" spans="1:27" ht="15.75" customHeight="1">
      <c r="A11" s="34" t="str">
        <f t="shared" ca="1" si="0"/>
        <v>Biscoveanu, S [Student Representative]</v>
      </c>
      <c r="B11" s="33" t="str">
        <f ca="1">IFERROR(__xludf.DUMMYFUNCTION("""COMPUTED_VALUE"""),"Biscoveanu")</f>
        <v>Biscoveanu</v>
      </c>
      <c r="C11" s="33" t="str">
        <f ca="1">IFERROR(__xludf.DUMMYFUNCTION("""COMPUTED_VALUE"""),"Sylvia")</f>
        <v>Sylvia</v>
      </c>
      <c r="D11" s="33" t="str">
        <f ca="1">IFERROR(__xludf.DUMMYFUNCTION("""COMPUTED_VALUE"""),"Academic Advisory Committee")</f>
        <v>Academic Advisory Committee</v>
      </c>
      <c r="E11" s="33" t="str">
        <f ca="1">IFERROR(__xludf.DUMMYFUNCTION("""COMPUTED_VALUE"""),"Student Representative")</f>
        <v>Student Representative</v>
      </c>
      <c r="F11" s="33" t="str">
        <f ca="1">IFERROR(__xludf.DUMMYFUNCTION("""COMPUTED_VALUE"""),"Student Representative")</f>
        <v>Student Representative</v>
      </c>
      <c r="G11" s="34"/>
    </row>
    <row r="12" spans="1:27" ht="15.75" customHeight="1">
      <c r="A12" s="34" t="str">
        <f t="shared" ca="1" si="0"/>
        <v>Bizouard, M</v>
      </c>
      <c r="B12" s="33" t="str">
        <f ca="1">IFERROR(__xludf.DUMMYFUNCTION("""COMPUTED_VALUE"""),"Bizouard")</f>
        <v>Bizouard</v>
      </c>
      <c r="C12" s="33" t="str">
        <f ca="1">IFERROR(__xludf.DUMMYFUNCTION("""COMPUTED_VALUE"""),"Marie-Anne")</f>
        <v>Marie-Anne</v>
      </c>
      <c r="D12" s="33" t="str">
        <f ca="1">IFERROR(__xludf.DUMMYFUNCTION("""COMPUTED_VALUE"""),"Supernovae Subgroup Burst")</f>
        <v>Supernovae Subgroup Burst</v>
      </c>
      <c r="E12" s="33" t="str">
        <f ca="1">IFERROR(__xludf.DUMMYFUNCTION("""COMPUTED_VALUE"""),"Chair")</f>
        <v>Chair</v>
      </c>
      <c r="F12" s="33"/>
      <c r="G12" s="34"/>
    </row>
    <row r="13" spans="1:27" ht="15.75" customHeight="1">
      <c r="A13" s="34" t="str">
        <f t="shared" ca="1" si="0"/>
        <v>Bose, S</v>
      </c>
      <c r="B13" s="33" t="str">
        <f ca="1">IFERROR(__xludf.DUMMYFUNCTION("""COMPUTED_VALUE"""),"Bose")</f>
        <v>Bose</v>
      </c>
      <c r="C13" s="33" t="str">
        <f ca="1">IFERROR(__xludf.DUMMYFUNCTION("""COMPUTED_VALUE"""),"Sukanta")</f>
        <v>Sukanta</v>
      </c>
      <c r="D13" s="33" t="str">
        <f ca="1">IFERROR(__xludf.DUMMYFUNCTION("""COMPUTED_VALUE"""),"Program Committee")</f>
        <v>Program Committee</v>
      </c>
      <c r="E13" s="33" t="str">
        <f ca="1">IFERROR(__xludf.DUMMYFUNCTION("""COMPUTED_VALUE"""),"Member")</f>
        <v>Member</v>
      </c>
      <c r="F13" s="33"/>
      <c r="G13" s="34"/>
    </row>
    <row r="14" spans="1:27" ht="15.75" customHeight="1">
      <c r="A14" s="34" t="str">
        <f t="shared" ca="1" si="0"/>
        <v>Bose, S</v>
      </c>
      <c r="B14" s="33" t="str">
        <f ca="1">IFERROR(__xludf.DUMMYFUNCTION("""COMPUTED_VALUE"""),"Bose")</f>
        <v>Bose</v>
      </c>
      <c r="C14" s="33" t="str">
        <f ca="1">IFERROR(__xludf.DUMMYFUNCTION("""COMPUTED_VALUE"""),"Sukanta")</f>
        <v>Sukanta</v>
      </c>
      <c r="D14" s="33" t="str">
        <f ca="1">IFERROR(__xludf.DUMMYFUNCTION("""COMPUTED_VALUE"""),"Stochastic Review Chairs")</f>
        <v>Stochastic Review Chairs</v>
      </c>
      <c r="E14" s="33" t="str">
        <f ca="1">IFERROR(__xludf.DUMMYFUNCTION("""COMPUTED_VALUE"""),"Chair")</f>
        <v>Chair</v>
      </c>
      <c r="F14" s="33"/>
      <c r="G14" s="34"/>
    </row>
    <row r="15" spans="1:27" ht="15.75" customHeight="1">
      <c r="A15" s="32" t="str">
        <f t="shared" ca="1" si="0"/>
        <v>Brady, P [MT]</v>
      </c>
      <c r="B15" s="33" t="str">
        <f ca="1">IFERROR(__xludf.DUMMYFUNCTION("""COMPUTED_VALUE"""),"Brady")</f>
        <v>Brady</v>
      </c>
      <c r="C15" s="33" t="str">
        <f ca="1">IFERROR(__xludf.DUMMYFUNCTION("""COMPUTED_VALUE"""),"Patrick")</f>
        <v>Patrick</v>
      </c>
      <c r="D15" s="33" t="str">
        <f ca="1">IFERROR(__xludf.DUMMYFUNCTION("""COMPUTED_VALUE"""),"Spokesperson")</f>
        <v>Spokesperson</v>
      </c>
      <c r="E15" s="33" t="str">
        <f ca="1">IFERROR(__xludf.DUMMYFUNCTION("""COMPUTED_VALUE"""),"Spokesperson")</f>
        <v>Spokesperson</v>
      </c>
      <c r="F15" s="33" t="str">
        <f ca="1">IFERROR(__xludf.DUMMYFUNCTION("""COMPUTED_VALUE"""),"MT")</f>
        <v>MT</v>
      </c>
      <c r="G15" s="34" t="str">
        <f ca="1">IFERROR(__xludf.DUMMYFUNCTION("""COMPUTED_VALUE"""),"patrick.brady@ligo.org")</f>
        <v>patrick.brady@ligo.org</v>
      </c>
    </row>
    <row r="16" spans="1:27" ht="15.75" customHeight="1">
      <c r="A16" s="34" t="str">
        <f t="shared" ca="1" si="0"/>
        <v>Brown, D</v>
      </c>
      <c r="B16" s="33" t="str">
        <f ca="1">IFERROR(__xludf.DUMMYFUNCTION("""COMPUTED_VALUE"""),"Brown")</f>
        <v>Brown</v>
      </c>
      <c r="C16" s="33" t="str">
        <f ca="1">IFERROR(__xludf.DUMMYFUNCTION("""COMPUTED_VALUE"""),"Daniel")</f>
        <v>Daniel</v>
      </c>
      <c r="D16" s="33" t="str">
        <f ca="1">IFERROR(__xludf.DUMMYFUNCTION("""COMPUTED_VALUE"""),"Adv. Interferometer Configurations WG")</f>
        <v>Adv. Interferometer Configurations WG</v>
      </c>
      <c r="E16" s="33" t="str">
        <f ca="1">IFERROR(__xludf.DUMMYFUNCTION("""COMPUTED_VALUE"""),"Chair")</f>
        <v>Chair</v>
      </c>
      <c r="F16" s="33"/>
      <c r="G16" s="34"/>
    </row>
    <row r="17" spans="1:7" ht="15.75" customHeight="1">
      <c r="A17" s="34" t="str">
        <f t="shared" ca="1" si="0"/>
        <v>Bruntz, R [Deputy Lead]</v>
      </c>
      <c r="B17" s="33" t="str">
        <f ca="1">IFERROR(__xludf.DUMMYFUNCTION("""COMPUTED_VALUE"""),"Bruntz")</f>
        <v>Bruntz</v>
      </c>
      <c r="C17" s="33" t="str">
        <f ca="1">IFERROR(__xludf.DUMMYFUNCTION("""COMPUTED_VALUE"""),"Robert")</f>
        <v>Robert</v>
      </c>
      <c r="D17" s="33" t="str">
        <f ca="1">IFERROR(__xludf.DUMMYFUNCTION("""COMPUTED_VALUE"""),"Computing Leads Detchar")</f>
        <v>Computing Leads Detchar</v>
      </c>
      <c r="E17" s="33" t="str">
        <f ca="1">IFERROR(__xludf.DUMMYFUNCTION("""COMPUTED_VALUE"""),"Deputy Lead")</f>
        <v>Deputy Lead</v>
      </c>
      <c r="F17" s="33" t="str">
        <f ca="1">IFERROR(__xludf.DUMMYFUNCTION("""COMPUTED_VALUE"""),"Deputy Lead")</f>
        <v>Deputy Lead</v>
      </c>
      <c r="G17" s="34"/>
    </row>
    <row r="18" spans="1:7" ht="15.75" customHeight="1">
      <c r="A18" s="34" t="str">
        <f t="shared" ca="1" si="0"/>
        <v>Buskulic, D</v>
      </c>
      <c r="B18" s="33" t="str">
        <f ca="1">IFERROR(__xludf.DUMMYFUNCTION("""COMPUTED_VALUE"""),"Buskulic")</f>
        <v>Buskulic</v>
      </c>
      <c r="C18" s="33" t="str">
        <f ca="1">IFERROR(__xludf.DUMMYFUNCTION("""COMPUTED_VALUE"""),"Damir")</f>
        <v>Damir</v>
      </c>
      <c r="D18" s="33" t="str">
        <f ca="1">IFERROR(__xludf.DUMMYFUNCTION("""COMPUTED_VALUE"""),"CW Review Chairs")</f>
        <v>CW Review Chairs</v>
      </c>
      <c r="E18" s="33" t="str">
        <f ca="1">IFERROR(__xludf.DUMMYFUNCTION("""COMPUTED_VALUE"""),"Chair")</f>
        <v>Chair</v>
      </c>
      <c r="F18" s="33"/>
      <c r="G18" s="34"/>
    </row>
    <row r="19" spans="1:7" ht="15.75" customHeight="1">
      <c r="A19" s="34" t="str">
        <f t="shared" ca="1" si="0"/>
        <v>Cadonati, L [MT]</v>
      </c>
      <c r="B19" s="33" t="str">
        <f ca="1">IFERROR(__xludf.DUMMYFUNCTION("""COMPUTED_VALUE"""),"Cadonati")</f>
        <v>Cadonati</v>
      </c>
      <c r="C19" s="33" t="str">
        <f ca="1">IFERROR(__xludf.DUMMYFUNCTION("""COMPUTED_VALUE"""),"Laura")</f>
        <v>Laura</v>
      </c>
      <c r="D19" s="33" t="str">
        <f ca="1">IFERROR(__xludf.DUMMYFUNCTION("""COMPUTED_VALUE"""),"Standards &amp; Services Division")</f>
        <v>Standards &amp; Services Division</v>
      </c>
      <c r="E19" s="33" t="str">
        <f ca="1">IFERROR(__xludf.DUMMYFUNCTION("""COMPUTED_VALUE"""),"Chair")</f>
        <v>Chair</v>
      </c>
      <c r="F19" s="33" t="str">
        <f ca="1">IFERROR(__xludf.DUMMYFUNCTION("""COMPUTED_VALUE"""),"MT")</f>
        <v>MT</v>
      </c>
      <c r="G19" s="34"/>
    </row>
    <row r="20" spans="1:7" ht="15.75" customHeight="1">
      <c r="A20" s="34" t="str">
        <f t="shared" ca="1" si="0"/>
        <v>Cavaglia, M [MT]</v>
      </c>
      <c r="B20" s="33" t="str">
        <f ca="1">IFERROR(__xludf.DUMMYFUNCTION("""COMPUTED_VALUE"""),"Cavaglia")</f>
        <v>Cavaglia</v>
      </c>
      <c r="C20" s="33" t="str">
        <f ca="1">IFERROR(__xludf.DUMMYFUNCTION("""COMPUTED_VALUE"""),"Marco")</f>
        <v>Marco</v>
      </c>
      <c r="D20" s="33" t="str">
        <f ca="1">IFERROR(__xludf.DUMMYFUNCTION("""COMPUTED_VALUE"""),"Burst WG")</f>
        <v>Burst WG</v>
      </c>
      <c r="E20" s="33" t="str">
        <f ca="1">IFERROR(__xludf.DUMMYFUNCTION("""COMPUTED_VALUE"""),"Chair")</f>
        <v>Chair</v>
      </c>
      <c r="F20" s="33" t="str">
        <f ca="1">IFERROR(__xludf.DUMMYFUNCTION("""COMPUTED_VALUE"""),"MT")</f>
        <v>MT</v>
      </c>
      <c r="G20" s="34"/>
    </row>
    <row r="21" spans="1:7" ht="15.75" customHeight="1">
      <c r="A21" s="34" t="str">
        <f t="shared" ca="1" si="0"/>
        <v>Charlton, P</v>
      </c>
      <c r="B21" s="33" t="str">
        <f ca="1">IFERROR(__xludf.DUMMYFUNCTION("""COMPUTED_VALUE"""),"Charlton")</f>
        <v>Charlton</v>
      </c>
      <c r="C21" s="33" t="str">
        <f ca="1">IFERROR(__xludf.DUMMYFUNCTION("""COMPUTED_VALUE"""),"Philip")</f>
        <v>Philip</v>
      </c>
      <c r="D21" s="33" t="str">
        <f ca="1">IFERROR(__xludf.DUMMYFUNCTION("""COMPUTED_VALUE"""),"Detector Characterization Subgroup Stochastic")</f>
        <v>Detector Characterization Subgroup Stochastic</v>
      </c>
      <c r="E21" s="33" t="str">
        <f ca="1">IFERROR(__xludf.DUMMYFUNCTION("""COMPUTED_VALUE"""),"Chair")</f>
        <v>Chair</v>
      </c>
      <c r="F21" s="33"/>
      <c r="G21" s="34"/>
    </row>
    <row r="22" spans="1:7" ht="15.75" customHeight="1">
      <c r="A22" s="34" t="str">
        <f t="shared" ca="1" si="0"/>
        <v>Cholayil, S</v>
      </c>
      <c r="B22" s="33" t="str">
        <f ca="1">IFERROR(__xludf.DUMMYFUNCTION("""COMPUTED_VALUE"""),"Cholayil")</f>
        <v>Cholayil</v>
      </c>
      <c r="C22" s="33" t="str">
        <f ca="1">IFERROR(__xludf.DUMMYFUNCTION("""COMPUTED_VALUE"""),"Saleem")</f>
        <v>Saleem</v>
      </c>
      <c r="D22" s="33" t="str">
        <f ca="1">IFERROR(__xludf.DUMMYFUNCTION("""COMPUTED_VALUE"""),"Intermittent Duration Background Subgroup Stochastics")</f>
        <v>Intermittent Duration Background Subgroup Stochastics</v>
      </c>
      <c r="E22" s="33" t="str">
        <f ca="1">IFERROR(__xludf.DUMMYFUNCTION("""COMPUTED_VALUE"""),"Chair")</f>
        <v>Chair</v>
      </c>
      <c r="F22" s="33"/>
      <c r="G22" s="34"/>
    </row>
    <row r="23" spans="1:7" ht="15.75" customHeight="1">
      <c r="A23" s="34" t="str">
        <f t="shared" ca="1" si="0"/>
        <v>Christensen, N</v>
      </c>
      <c r="B23" s="33" t="str">
        <f ca="1">IFERROR(__xludf.DUMMYFUNCTION("""COMPUTED_VALUE"""),"Christensen")</f>
        <v>Christensen</v>
      </c>
      <c r="C23" s="33" t="str">
        <f ca="1">IFERROR(__xludf.DUMMYFUNCTION("""COMPUTED_VALUE"""),"Nelson")</f>
        <v>Nelson</v>
      </c>
      <c r="D23" s="33" t="str">
        <f ca="1">IFERROR(__xludf.DUMMYFUNCTION("""COMPUTED_VALUE"""),"PE &amp; Implications Subgroup Stochastics")</f>
        <v>PE &amp; Implications Subgroup Stochastics</v>
      </c>
      <c r="E23" s="33" t="str">
        <f ca="1">IFERROR(__xludf.DUMMYFUNCTION("""COMPUTED_VALUE"""),"Chair")</f>
        <v>Chair</v>
      </c>
      <c r="F23" s="33"/>
      <c r="G23" s="34"/>
    </row>
    <row r="24" spans="1:7" ht="15.75" customHeight="1">
      <c r="A24" s="34" t="str">
        <f t="shared" ca="1" si="0"/>
        <v>Cominsky, L</v>
      </c>
      <c r="B24" s="33" t="str">
        <f ca="1">IFERROR(__xludf.DUMMYFUNCTION("""COMPUTED_VALUE"""),"Cominsky")</f>
        <v>Cominsky</v>
      </c>
      <c r="C24" s="33" t="str">
        <f ca="1">IFERROR(__xludf.DUMMYFUNCTION("""COMPUTED_VALUE"""),"Lynn")</f>
        <v>Lynn</v>
      </c>
      <c r="D24" s="33" t="str">
        <f ca="1">IFERROR(__xludf.DUMMYFUNCTION("""COMPUTED_VALUE"""),"Formal Education Committee")</f>
        <v>Formal Education Committee</v>
      </c>
      <c r="E24" s="33" t="str">
        <f ca="1">IFERROR(__xludf.DUMMYFUNCTION("""COMPUTED_VALUE"""),"Chair")</f>
        <v>Chair</v>
      </c>
      <c r="F24" s="33"/>
      <c r="G24" s="34"/>
    </row>
    <row r="25" spans="1:7" ht="15.75" customHeight="1">
      <c r="A25" s="34" t="str">
        <f t="shared" ca="1" si="0"/>
        <v>Corsi, A [CocoA]</v>
      </c>
      <c r="B25" s="33" t="str">
        <f ca="1">IFERROR(__xludf.DUMMYFUNCTION("""COMPUTED_VALUE"""),"Corsi")</f>
        <v>Corsi</v>
      </c>
      <c r="C25" s="33" t="str">
        <f ca="1">IFERROR(__xludf.DUMMYFUNCTION("""COMPUTED_VALUE"""),"Allessandra")</f>
        <v>Allessandra</v>
      </c>
      <c r="D25" s="33" t="str">
        <f ca="1">IFERROR(__xludf.DUMMYFUNCTION("""COMPUTED_VALUE"""),"Burst Pipeline Support, R&amp;D")</f>
        <v>Burst Pipeline Support, R&amp;D</v>
      </c>
      <c r="E25" s="33" t="str">
        <f ca="1">IFERROR(__xludf.DUMMYFUNCTION("""COMPUTED_VALUE"""),"Chair")</f>
        <v>Chair</v>
      </c>
      <c r="F25" s="33" t="str">
        <f ca="1">IFERROR(__xludf.DUMMYFUNCTION("""COMPUTED_VALUE"""),"CocoA")</f>
        <v>CocoA</v>
      </c>
      <c r="G25" s="34"/>
    </row>
    <row r="26" spans="1:7" ht="15.75" customHeight="1">
      <c r="A26" s="34" t="str">
        <f t="shared" ca="1" si="0"/>
        <v>Corsi, A</v>
      </c>
      <c r="B26" s="33" t="str">
        <f ca="1">IFERROR(__xludf.DUMMYFUNCTION("""COMPUTED_VALUE"""),"Corsi")</f>
        <v>Corsi</v>
      </c>
      <c r="C26" s="33" t="str">
        <f ca="1">IFERROR(__xludf.DUMMYFUNCTION("""COMPUTED_VALUE"""),"Allessandra")</f>
        <v>Allessandra</v>
      </c>
      <c r="D26" s="33" t="str">
        <f ca="1">IFERROR(__xludf.DUMMYFUNCTION("""COMPUTED_VALUE"""),"Burst Review Chairs")</f>
        <v>Burst Review Chairs</v>
      </c>
      <c r="E26" s="33" t="str">
        <f ca="1">IFERROR(__xludf.DUMMYFUNCTION("""COMPUTED_VALUE"""),"Chair")</f>
        <v>Chair</v>
      </c>
      <c r="F26" s="33"/>
      <c r="G26" s="34"/>
    </row>
    <row r="27" spans="1:7" ht="15.75" customHeight="1">
      <c r="A27" s="34" t="str">
        <f t="shared" ca="1" si="0"/>
        <v>Coughlin, M</v>
      </c>
      <c r="B27" s="33" t="str">
        <f ca="1">IFERROR(__xludf.DUMMYFUNCTION("""COMPUTED_VALUE"""),"Coughlin")</f>
        <v>Coughlin</v>
      </c>
      <c r="C27" s="33" t="str">
        <f ca="1">IFERROR(__xludf.DUMMYFUNCTION("""COMPUTED_VALUE"""),"Michael")</f>
        <v>Michael</v>
      </c>
      <c r="D27" s="33" t="str">
        <f ca="1">IFERROR(__xludf.DUMMYFUNCTION("""COMPUTED_VALUE"""),"All-sky Unmodeled (long) Subgroup Burst")</f>
        <v>All-sky Unmodeled (long) Subgroup Burst</v>
      </c>
      <c r="E27" s="33" t="str">
        <f ca="1">IFERROR(__xludf.DUMMYFUNCTION("""COMPUTED_VALUE"""),"Chair")</f>
        <v>Chair</v>
      </c>
      <c r="F27" s="33"/>
      <c r="G27" s="34"/>
    </row>
    <row r="28" spans="1:7" ht="15.75" customHeight="1">
      <c r="A28" s="34" t="str">
        <f t="shared" ca="1" si="0"/>
        <v>Couvares, P</v>
      </c>
      <c r="B28" s="33" t="str">
        <f ca="1">IFERROR(__xludf.DUMMYFUNCTION("""COMPUTED_VALUE"""),"Couvares")</f>
        <v>Couvares</v>
      </c>
      <c r="C28" s="33" t="str">
        <f ca="1">IFERROR(__xludf.DUMMYFUNCTION("""COMPUTED_VALUE"""),"Peter")</f>
        <v>Peter</v>
      </c>
      <c r="D28" s="33" t="str">
        <f ca="1">IFERROR(__xludf.DUMMYFUNCTION("""COMPUTED_VALUE"""),"Computing &amp; Software WG")</f>
        <v>Computing &amp; Software WG</v>
      </c>
      <c r="E28" s="33" t="str">
        <f ca="1">IFERROR(__xludf.DUMMYFUNCTION("""COMPUTED_VALUE"""),"Chair")</f>
        <v>Chair</v>
      </c>
      <c r="F28" s="33"/>
      <c r="G28" s="34"/>
    </row>
    <row r="29" spans="1:7" ht="15.75" customHeight="1">
      <c r="A29" s="34" t="str">
        <f t="shared" ca="1" si="0"/>
        <v>Davis, D</v>
      </c>
      <c r="B29" s="33" t="str">
        <f ca="1">IFERROR(__xludf.DUMMYFUNCTION("""COMPUTED_VALUE"""),"Davis")</f>
        <v>Davis</v>
      </c>
      <c r="C29" s="33" t="str">
        <f ca="1">IFERROR(__xludf.DUMMYFUNCTION("""COMPUTED_VALUE"""),"Derek")</f>
        <v>Derek</v>
      </c>
      <c r="D29" s="33" t="str">
        <f ca="1">IFERROR(__xludf.DUMMYFUNCTION("""COMPUTED_VALUE"""),"Detector Characterization WG")</f>
        <v>Detector Characterization WG</v>
      </c>
      <c r="E29" s="33" t="str">
        <f ca="1">IFERROR(__xludf.DUMMYFUNCTION("""COMPUTED_VALUE"""),"Chair")</f>
        <v>Chair</v>
      </c>
      <c r="F29" s="33"/>
      <c r="G29" s="34"/>
    </row>
    <row r="30" spans="1:7" ht="15.75" customHeight="1">
      <c r="A30" s="34" t="str">
        <f t="shared" ca="1" si="0"/>
        <v>Dent, T</v>
      </c>
      <c r="B30" s="33" t="str">
        <f ca="1">IFERROR(__xludf.DUMMYFUNCTION("""COMPUTED_VALUE"""),"Dent")</f>
        <v>Dent</v>
      </c>
      <c r="C30" s="33" t="str">
        <f ca="1">IFERROR(__xludf.DUMMYFUNCTION("""COMPUTED_VALUE"""),"Thomas")</f>
        <v>Thomas</v>
      </c>
      <c r="D30" s="33" t="str">
        <f ca="1">IFERROR(__xludf.DUMMYFUNCTION("""COMPUTED_VALUE"""),"Rates &amp; Populations Subgroup CBC")</f>
        <v>Rates &amp; Populations Subgroup CBC</v>
      </c>
      <c r="E30" s="33" t="str">
        <f ca="1">IFERROR(__xludf.DUMMYFUNCTION("""COMPUTED_VALUE"""),"Chair")</f>
        <v>Chair</v>
      </c>
      <c r="F30" s="33"/>
      <c r="G30" s="34"/>
    </row>
    <row r="31" spans="1:7" ht="15.75" customHeight="1">
      <c r="A31" s="34" t="str">
        <f t="shared" ca="1" si="0"/>
        <v>Dietrich, T</v>
      </c>
      <c r="B31" s="33" t="str">
        <f ca="1">IFERROR(__xludf.DUMMYFUNCTION("""COMPUTED_VALUE"""),"Dietrich")</f>
        <v>Dietrich</v>
      </c>
      <c r="C31" s="33" t="str">
        <f ca="1">IFERROR(__xludf.DUMMYFUNCTION("""COMPUTED_VALUE"""),"Tim")</f>
        <v>Tim</v>
      </c>
      <c r="D31" s="33" t="str">
        <f ca="1">IFERROR(__xludf.DUMMYFUNCTION("""COMPUTED_VALUE"""),"Extreme Mastter Subgroup CBC")</f>
        <v>Extreme Mastter Subgroup CBC</v>
      </c>
      <c r="E31" s="33" t="str">
        <f ca="1">IFERROR(__xludf.DUMMYFUNCTION("""COMPUTED_VALUE"""),"Chair")</f>
        <v>Chair</v>
      </c>
      <c r="F31" s="33"/>
      <c r="G31" s="34"/>
    </row>
    <row r="32" spans="1:7" ht="15.75" customHeight="1">
      <c r="A32" s="34" t="str">
        <f t="shared" ca="1" si="0"/>
        <v>Doctor, Z</v>
      </c>
      <c r="B32" s="33" t="str">
        <f ca="1">IFERROR(__xludf.DUMMYFUNCTION("""COMPUTED_VALUE"""),"Doctor")</f>
        <v>Doctor</v>
      </c>
      <c r="C32" s="33" t="str">
        <f ca="1">IFERROR(__xludf.DUMMYFUNCTION("""COMPUTED_VALUE"""),"Zoheyr")</f>
        <v>Zoheyr</v>
      </c>
      <c r="D32" s="33" t="str">
        <f ca="1">IFERROR(__xludf.DUMMYFUNCTION("""COMPUTED_VALUE"""),"Rates &amp; Populations Subgroup CBC")</f>
        <v>Rates &amp; Populations Subgroup CBC</v>
      </c>
      <c r="E32" s="33" t="str">
        <f ca="1">IFERROR(__xludf.DUMMYFUNCTION("""COMPUTED_VALUE"""),"Chair")</f>
        <v>Chair</v>
      </c>
      <c r="F32" s="33"/>
      <c r="G32" s="34"/>
    </row>
    <row r="33" spans="1:7" ht="15.75" customHeight="1">
      <c r="A33" s="34" t="str">
        <f t="shared" ca="1" si="0"/>
        <v>Drigger, J [MT]</v>
      </c>
      <c r="B33" s="33" t="str">
        <f ca="1">IFERROR(__xludf.DUMMYFUNCTION("""COMPUTED_VALUE"""),"Drigger")</f>
        <v>Drigger</v>
      </c>
      <c r="C33" s="33" t="str">
        <f ca="1">IFERROR(__xludf.DUMMYFUNCTION("""COMPUTED_VALUE"""),"Jenne")</f>
        <v>Jenne</v>
      </c>
      <c r="D33" s="33" t="str">
        <f ca="1">IFERROR(__xludf.DUMMYFUNCTION("""COMPUTED_VALUE"""),"Management Team")</f>
        <v>Management Team</v>
      </c>
      <c r="E33" s="33" t="str">
        <f ca="1">IFERROR(__xludf.DUMMYFUNCTION("""COMPUTED_VALUE"""),"Elected Representative")</f>
        <v>Elected Representative</v>
      </c>
      <c r="F33" s="33" t="str">
        <f ca="1">IFERROR(__xludf.DUMMYFUNCTION("""COMPUTED_VALUE"""),"MT")</f>
        <v>MT</v>
      </c>
      <c r="G33" s="34"/>
    </row>
    <row r="34" spans="1:7" ht="15.75" customHeight="1">
      <c r="A34" s="34" t="str">
        <f t="shared" ca="1" si="0"/>
        <v>Eassa, C</v>
      </c>
      <c r="B34" s="33" t="str">
        <f ca="1">IFERROR(__xludf.DUMMYFUNCTION("""COMPUTED_VALUE"""),"Eassa")</f>
        <v>Eassa</v>
      </c>
      <c r="C34" s="33" t="str">
        <f ca="1">IFERROR(__xludf.DUMMYFUNCTION("""COMPUTED_VALUE"""),"Cassidy")</f>
        <v>Cassidy</v>
      </c>
      <c r="D34" s="33" t="str">
        <f ca="1">IFERROR(__xludf.DUMMYFUNCTION("""COMPUTED_VALUE"""),"Diversity, Equity &amp; Inclusion Committee")</f>
        <v>Diversity, Equity &amp; Inclusion Committee</v>
      </c>
      <c r="E34" s="33" t="str">
        <f ca="1">IFERROR(__xludf.DUMMYFUNCTION("""COMPUTED_VALUE"""),"Member")</f>
        <v>Member</v>
      </c>
      <c r="F34" s="33"/>
      <c r="G34" s="34"/>
    </row>
    <row r="35" spans="1:7" ht="15.75" customHeight="1">
      <c r="A35" s="34" t="str">
        <f t="shared" ca="1" si="0"/>
        <v>Effler, A</v>
      </c>
      <c r="B35" s="33" t="str">
        <f ca="1">IFERROR(__xludf.DUMMYFUNCTION("""COMPUTED_VALUE"""),"Effler")</f>
        <v>Effler</v>
      </c>
      <c r="C35" s="33" t="str">
        <f ca="1">IFERROR(__xludf.DUMMYFUNCTION("""COMPUTED_VALUE"""),"Anamaria")</f>
        <v>Anamaria</v>
      </c>
      <c r="D35" s="33" t="str">
        <f ca="1">IFERROR(__xludf.DUMMYFUNCTION("""COMPUTED_VALUE"""),"Support of Observatories Committee")</f>
        <v>Support of Observatories Committee</v>
      </c>
      <c r="E35" s="33" t="str">
        <f ca="1">IFERROR(__xludf.DUMMYFUNCTION("""COMPUTED_VALUE"""),"Chair")</f>
        <v>Chair</v>
      </c>
      <c r="F35" s="33"/>
      <c r="G35" s="34"/>
    </row>
    <row r="36" spans="1:7" ht="15.75" customHeight="1">
      <c r="A36" s="34" t="str">
        <f t="shared" ca="1" si="0"/>
        <v>Favata, M</v>
      </c>
      <c r="B36" s="33" t="str">
        <f ca="1">IFERROR(__xludf.DUMMYFUNCTION("""COMPUTED_VALUE"""),"Favata")</f>
        <v>Favata</v>
      </c>
      <c r="C36" s="33" t="str">
        <f ca="1">IFERROR(__xludf.DUMMYFUNCTION("""COMPUTED_VALUE"""),"Marco")</f>
        <v>Marco</v>
      </c>
      <c r="D36" s="33" t="str">
        <f ca="1">IFERROR(__xludf.DUMMYFUNCTION("""COMPUTED_VALUE"""),"Web Committee")</f>
        <v>Web Committee</v>
      </c>
      <c r="E36" s="33" t="str">
        <f ca="1">IFERROR(__xludf.DUMMYFUNCTION("""COMPUTED_VALUE"""),"Chair")</f>
        <v>Chair</v>
      </c>
      <c r="F36" s="33"/>
      <c r="G36" s="34"/>
    </row>
    <row r="37" spans="1:7" ht="15.75" customHeight="1">
      <c r="A37" s="34" t="str">
        <f t="shared" ca="1" si="0"/>
        <v>Fisher, R [GRB/FRB]</v>
      </c>
      <c r="B37" s="33" t="str">
        <f ca="1">IFERROR(__xludf.DUMMYFUNCTION("""COMPUTED_VALUE"""),"Fisher")</f>
        <v>Fisher</v>
      </c>
      <c r="C37" s="33" t="str">
        <f ca="1">IFERROR(__xludf.DUMMYFUNCTION("""COMPUTED_VALUE"""),"Ryan")</f>
        <v>Ryan</v>
      </c>
      <c r="D37" s="33" t="str">
        <f ca="1">IFERROR(__xludf.DUMMYFUNCTION("""COMPUTED_VALUE"""),"Liasons Detchar")</f>
        <v>Liasons Detchar</v>
      </c>
      <c r="E37" s="33" t="str">
        <f ca="1">IFERROR(__xludf.DUMMYFUNCTION("""COMPUTED_VALUE"""),"Liaison")</f>
        <v>Liaison</v>
      </c>
      <c r="F37" s="33" t="str">
        <f ca="1">IFERROR(__xludf.DUMMYFUNCTION("""COMPUTED_VALUE"""),"GRB/FRB")</f>
        <v>GRB/FRB</v>
      </c>
      <c r="G37" s="34"/>
    </row>
    <row r="38" spans="1:7" ht="15.75" customHeight="1">
      <c r="A38" s="34" t="str">
        <f t="shared" ca="1" si="0"/>
        <v>Frey, R</v>
      </c>
      <c r="B38" s="33" t="str">
        <f ca="1">IFERROR(__xludf.DUMMYFUNCTION("""COMPUTED_VALUE"""),"Frey")</f>
        <v>Frey</v>
      </c>
      <c r="C38" s="33" t="str">
        <f ca="1">IFERROR(__xludf.DUMMYFUNCTION("""COMPUTED_VALUE"""),"Ray")</f>
        <v>Ray</v>
      </c>
      <c r="D38" s="33" t="str">
        <f ca="1">IFERROR(__xludf.DUMMYFUNCTION("""COMPUTED_VALUE"""),"Diversity, Equity &amp; Inclusion Committee")</f>
        <v>Diversity, Equity &amp; Inclusion Committee</v>
      </c>
      <c r="E38" s="33" t="str">
        <f ca="1">IFERROR(__xludf.DUMMYFUNCTION("""COMPUTED_VALUE"""),"Chair")</f>
        <v>Chair</v>
      </c>
      <c r="F38" s="33"/>
      <c r="G38" s="34"/>
    </row>
    <row r="39" spans="1:7" ht="15.75" customHeight="1">
      <c r="A39" s="34" t="str">
        <f t="shared" ca="1" si="0"/>
        <v>Fritschel, P [MT]</v>
      </c>
      <c r="B39" s="33" t="str">
        <f ca="1">IFERROR(__xludf.DUMMYFUNCTION("""COMPUTED_VALUE"""),"Fritschel")</f>
        <v>Fritschel</v>
      </c>
      <c r="C39" s="33" t="str">
        <f ca="1">IFERROR(__xludf.DUMMYFUNCTION("""COMPUTED_VALUE"""),"Peter")</f>
        <v>Peter</v>
      </c>
      <c r="D39" s="33" t="str">
        <f ca="1">IFERROR(__xludf.DUMMYFUNCTION("""COMPUTED_VALUE"""),"Instrument Science Division")</f>
        <v>Instrument Science Division</v>
      </c>
      <c r="E39" s="33" t="str">
        <f ca="1">IFERROR(__xludf.DUMMYFUNCTION("""COMPUTED_VALUE"""),"Chair")</f>
        <v>Chair</v>
      </c>
      <c r="F39" s="33" t="str">
        <f ca="1">IFERROR(__xludf.DUMMYFUNCTION("""COMPUTED_VALUE"""),"MT")</f>
        <v>MT</v>
      </c>
      <c r="G39" s="34"/>
    </row>
    <row r="40" spans="1:7" ht="15.75" customHeight="1">
      <c r="A40" s="34" t="str">
        <f t="shared" ca="1" si="0"/>
        <v>Fulda, P</v>
      </c>
      <c r="B40" s="33" t="str">
        <f ca="1">IFERROR(__xludf.DUMMYFUNCTION("""COMPUTED_VALUE"""),"Fulda")</f>
        <v>Fulda</v>
      </c>
      <c r="C40" s="33" t="str">
        <f ca="1">IFERROR(__xludf.DUMMYFUNCTION("""COMPUTED_VALUE"""),"Paul")</f>
        <v>Paul</v>
      </c>
      <c r="D40" s="33" t="str">
        <f ca="1">IFERROR(__xludf.DUMMYFUNCTION("""COMPUTED_VALUE"""),"Academic Advisory Committee")</f>
        <v>Academic Advisory Committee</v>
      </c>
      <c r="E40" s="33" t="str">
        <f ca="1">IFERROR(__xludf.DUMMYFUNCTION("""COMPUTED_VALUE"""),"Chair")</f>
        <v>Chair</v>
      </c>
      <c r="F40" s="33"/>
      <c r="G40" s="34"/>
    </row>
    <row r="41" spans="1:7" ht="15.75" customHeight="1">
      <c r="A41" s="34" t="str">
        <f t="shared" ca="1" si="0"/>
        <v>Gair, J</v>
      </c>
      <c r="B41" s="33" t="str">
        <f ca="1">IFERROR(__xludf.DUMMYFUNCTION("""COMPUTED_VALUE"""),"Gair")</f>
        <v>Gair</v>
      </c>
      <c r="C41" s="33" t="str">
        <f ca="1">IFERROR(__xludf.DUMMYFUNCTION("""COMPUTED_VALUE"""),"Jonathan")</f>
        <v>Jonathan</v>
      </c>
      <c r="D41" s="33" t="str">
        <f ca="1">IFERROR(__xludf.DUMMYFUNCTION("""COMPUTED_VALUE"""),"Cosmology Subgroup CBC")</f>
        <v>Cosmology Subgroup CBC</v>
      </c>
      <c r="E41" s="33" t="str">
        <f ca="1">IFERROR(__xludf.DUMMYFUNCTION("""COMPUTED_VALUE"""),"Chair")</f>
        <v>Chair</v>
      </c>
      <c r="F41" s="33"/>
      <c r="G41" s="34"/>
    </row>
    <row r="42" spans="1:7" ht="15.75" customHeight="1">
      <c r="A42" s="34" t="str">
        <f t="shared" ca="1" si="0"/>
        <v>Garufi, F</v>
      </c>
      <c r="B42" s="33" t="str">
        <f ca="1">IFERROR(__xludf.DUMMYFUNCTION("""COMPUTED_VALUE"""),"Garufi")</f>
        <v>Garufi</v>
      </c>
      <c r="C42" s="33" t="str">
        <f ca="1">IFERROR(__xludf.DUMMYFUNCTION("""COMPUTED_VALUE"""),"Fabio")</f>
        <v>Fabio</v>
      </c>
      <c r="D42" s="33" t="str">
        <f ca="1">IFERROR(__xludf.DUMMYFUNCTION("""COMPUTED_VALUE"""),"Stochastic Review Chairs")</f>
        <v>Stochastic Review Chairs</v>
      </c>
      <c r="E42" s="33" t="str">
        <f ca="1">IFERROR(__xludf.DUMMYFUNCTION("""COMPUTED_VALUE"""),"Chair")</f>
        <v>Chair</v>
      </c>
      <c r="F42" s="33"/>
      <c r="G42" s="34"/>
    </row>
    <row r="43" spans="1:7" ht="15.75" customHeight="1">
      <c r="A43" s="34" t="str">
        <f t="shared" ca="1" si="0"/>
        <v>Gayathri, V</v>
      </c>
      <c r="B43" s="33" t="str">
        <f ca="1">IFERROR(__xludf.DUMMYFUNCTION("""COMPUTED_VALUE"""),"Gayathri")</f>
        <v>Gayathri</v>
      </c>
      <c r="C43" s="33" t="str">
        <f ca="1">IFERROR(__xludf.DUMMYFUNCTION("""COMPUTED_VALUE"""),"V")</f>
        <v>V</v>
      </c>
      <c r="D43" s="33" t="str">
        <f ca="1">IFERROR(__xludf.DUMMYFUNCTION("""COMPUTED_VALUE"""),"Binary Black Holes Subgroup Burst")</f>
        <v>Binary Black Holes Subgroup Burst</v>
      </c>
      <c r="E43" s="33" t="str">
        <f ca="1">IFERROR(__xludf.DUMMYFUNCTION("""COMPUTED_VALUE"""),"Chair")</f>
        <v>Chair</v>
      </c>
      <c r="F43" s="33"/>
      <c r="G43" s="34"/>
    </row>
    <row r="44" spans="1:7" ht="15.75" customHeight="1">
      <c r="A44" s="34" t="str">
        <f t="shared" ca="1" si="0"/>
        <v>Ghosh, A</v>
      </c>
      <c r="B44" s="33" t="str">
        <f ca="1">IFERROR(__xludf.DUMMYFUNCTION("""COMPUTED_VALUE"""),"Ghosh")</f>
        <v>Ghosh</v>
      </c>
      <c r="C44" s="33" t="str">
        <f ca="1">IFERROR(__xludf.DUMMYFUNCTION("""COMPUTED_VALUE"""),"Archisman")</f>
        <v>Archisman</v>
      </c>
      <c r="D44" s="33" t="str">
        <f ca="1">IFERROR(__xludf.DUMMYFUNCTION("""COMPUTED_VALUE"""),"Compact Binaries Review Chairs")</f>
        <v>Compact Binaries Review Chairs</v>
      </c>
      <c r="E44" s="33" t="str">
        <f ca="1">IFERROR(__xludf.DUMMYFUNCTION("""COMPUTED_VALUE"""),"Chair")</f>
        <v>Chair</v>
      </c>
      <c r="F44" s="33"/>
      <c r="G44" s="34"/>
    </row>
    <row r="45" spans="1:7" ht="15.75" customHeight="1">
      <c r="A45" s="34" t="str">
        <f t="shared" ca="1" si="0"/>
        <v>Ghosh, S</v>
      </c>
      <c r="B45" s="33" t="str">
        <f ca="1">IFERROR(__xludf.DUMMYFUNCTION("""COMPUTED_VALUE"""),"Ghosh")</f>
        <v>Ghosh</v>
      </c>
      <c r="C45" s="33" t="str">
        <f ca="1">IFERROR(__xludf.DUMMYFUNCTION("""COMPUTED_VALUE"""),"Shaon")</f>
        <v>Shaon</v>
      </c>
      <c r="D45" s="33" t="str">
        <f ca="1">IFERROR(__xludf.DUMMYFUNCTION("""COMPUTED_VALUE"""),"Low-latency WG")</f>
        <v>Low-latency WG</v>
      </c>
      <c r="E45" s="33" t="str">
        <f ca="1">IFERROR(__xludf.DUMMYFUNCTION("""COMPUTED_VALUE"""),"Chair")</f>
        <v>Chair</v>
      </c>
      <c r="F45" s="33"/>
      <c r="G45" s="34"/>
    </row>
    <row r="46" spans="1:7" ht="15.75" customHeight="1">
      <c r="A46" s="34" t="str">
        <f t="shared" ca="1" si="0"/>
        <v>Goetz, E [Deputy Lead]</v>
      </c>
      <c r="B46" s="33" t="str">
        <f ca="1">IFERROR(__xludf.DUMMYFUNCTION("""COMPUTED_VALUE"""),"Goetz")</f>
        <v>Goetz</v>
      </c>
      <c r="C46" s="33" t="str">
        <f ca="1">IFERROR(__xludf.DUMMYFUNCTION("""COMPUTED_VALUE"""),"Evan")</f>
        <v>Evan</v>
      </c>
      <c r="D46" s="33" t="str">
        <f ca="1">IFERROR(__xludf.DUMMYFUNCTION("""COMPUTED_VALUE"""),"Computing Leads Detchar")</f>
        <v>Computing Leads Detchar</v>
      </c>
      <c r="E46" s="33" t="str">
        <f ca="1">IFERROR(__xludf.DUMMYFUNCTION("""COMPUTED_VALUE"""),"Deputy Lead")</f>
        <v>Deputy Lead</v>
      </c>
      <c r="F46" s="33" t="str">
        <f ca="1">IFERROR(__xludf.DUMMYFUNCTION("""COMPUTED_VALUE"""),"Deputy Lead")</f>
        <v>Deputy Lead</v>
      </c>
      <c r="G46" s="34"/>
    </row>
    <row r="47" spans="1:7" ht="15.75" customHeight="1">
      <c r="A47" s="34" t="str">
        <f t="shared" ca="1" si="0"/>
        <v>Goetz, E [CW]</v>
      </c>
      <c r="B47" s="33" t="str">
        <f ca="1">IFERROR(__xludf.DUMMYFUNCTION("""COMPUTED_VALUE"""),"Goetz")</f>
        <v>Goetz</v>
      </c>
      <c r="C47" s="33" t="str">
        <f ca="1">IFERROR(__xludf.DUMMYFUNCTION("""COMPUTED_VALUE"""),"Evan")</f>
        <v>Evan</v>
      </c>
      <c r="D47" s="33" t="str">
        <f ca="1">IFERROR(__xludf.DUMMYFUNCTION("""COMPUTED_VALUE"""),"Liasons Detchar")</f>
        <v>Liasons Detchar</v>
      </c>
      <c r="E47" s="33" t="str">
        <f ca="1">IFERROR(__xludf.DUMMYFUNCTION("""COMPUTED_VALUE"""),"Liaison")</f>
        <v>Liaison</v>
      </c>
      <c r="F47" s="33" t="str">
        <f ca="1">IFERROR(__xludf.DUMMYFUNCTION("""COMPUTED_VALUE"""),"CW")</f>
        <v>CW</v>
      </c>
      <c r="G47" s="34"/>
    </row>
    <row r="48" spans="1:7" ht="15.75" customHeight="1">
      <c r="A48" s="34" t="str">
        <f t="shared" ca="1" si="0"/>
        <v>Gonzalez, G</v>
      </c>
      <c r="B48" s="33" t="str">
        <f ca="1">IFERROR(__xludf.DUMMYFUNCTION("""COMPUTED_VALUE"""),"Gonzalez")</f>
        <v>Gonzalez</v>
      </c>
      <c r="C48" s="33" t="str">
        <f ca="1">IFERROR(__xludf.DUMMYFUNCTION("""COMPUTED_VALUE"""),"Gabriela")</f>
        <v>Gabriela</v>
      </c>
      <c r="D48" s="33" t="str">
        <f ca="1">IFERROR(__xludf.DUMMYFUNCTION("""COMPUTED_VALUE"""),"Speakers &amp; Awards Committee")</f>
        <v>Speakers &amp; Awards Committee</v>
      </c>
      <c r="E48" s="33" t="str">
        <f ca="1">IFERROR(__xludf.DUMMYFUNCTION("""COMPUTED_VALUE"""),"Chair")</f>
        <v>Chair</v>
      </c>
      <c r="F48" s="33"/>
      <c r="G48" s="34"/>
    </row>
    <row r="49" spans="1:7" ht="15.75" customHeight="1">
      <c r="A49" s="34" t="str">
        <f t="shared" ca="1" si="0"/>
        <v>Green, A [Postdoc Representative]</v>
      </c>
      <c r="B49" s="33" t="str">
        <f ca="1">IFERROR(__xludf.DUMMYFUNCTION("""COMPUTED_VALUE"""),"Green")</f>
        <v>Green</v>
      </c>
      <c r="C49" s="33" t="str">
        <f ca="1">IFERROR(__xludf.DUMMYFUNCTION("""COMPUTED_VALUE"""),"Anna")</f>
        <v>Anna</v>
      </c>
      <c r="D49" s="33" t="str">
        <f ca="1">IFERROR(__xludf.DUMMYFUNCTION("""COMPUTED_VALUE"""),"Academic Advisory Committee")</f>
        <v>Academic Advisory Committee</v>
      </c>
      <c r="E49" s="33" t="str">
        <f ca="1">IFERROR(__xludf.DUMMYFUNCTION("""COMPUTED_VALUE"""),"Postdoc Representative")</f>
        <v>Postdoc Representative</v>
      </c>
      <c r="F49" s="33" t="str">
        <f ca="1">IFERROR(__xludf.DUMMYFUNCTION("""COMPUTED_VALUE"""),"Postdoc Representative")</f>
        <v>Postdoc Representative</v>
      </c>
      <c r="G49" s="34"/>
    </row>
    <row r="50" spans="1:7" ht="13">
      <c r="A50" s="34" t="str">
        <f t="shared" ca="1" si="0"/>
        <v>Green, A [Deputy]</v>
      </c>
      <c r="B50" s="33" t="str">
        <f ca="1">IFERROR(__xludf.DUMMYFUNCTION("""COMPUTED_VALUE"""),"Green")</f>
        <v>Green</v>
      </c>
      <c r="C50" s="33" t="str">
        <f ca="1">IFERROR(__xludf.DUMMYFUNCTION("""COMPUTED_VALUE"""),"Anna")</f>
        <v>Anna</v>
      </c>
      <c r="D50" s="33" t="str">
        <f ca="1">IFERROR(__xludf.DUMMYFUNCTION("""COMPUTED_VALUE"""),"LIGO Magazine")</f>
        <v>LIGO Magazine</v>
      </c>
      <c r="E50" s="33" t="str">
        <f ca="1">IFERROR(__xludf.DUMMYFUNCTION("""COMPUTED_VALUE"""),"Deputy Editor-in-Chief")</f>
        <v>Deputy Editor-in-Chief</v>
      </c>
      <c r="F50" s="33" t="str">
        <f ca="1">IFERROR(__xludf.DUMMYFUNCTION("""COMPUTED_VALUE"""),"Deputy")</f>
        <v>Deputy</v>
      </c>
      <c r="G50" s="34"/>
    </row>
    <row r="51" spans="1:7" ht="13">
      <c r="A51" s="34" t="str">
        <f t="shared" ca="1" si="0"/>
        <v>Hammond, G</v>
      </c>
      <c r="B51" s="33" t="str">
        <f ca="1">IFERROR(__xludf.DUMMYFUNCTION("""COMPUTED_VALUE"""),"Hammond")</f>
        <v>Hammond</v>
      </c>
      <c r="C51" s="33" t="str">
        <f ca="1">IFERROR(__xludf.DUMMYFUNCTION("""COMPUTED_VALUE"""),"Giles")</f>
        <v>Giles</v>
      </c>
      <c r="D51" s="33" t="str">
        <f ca="1">IFERROR(__xludf.DUMMYFUNCTION("""COMPUTED_VALUE"""),"Elections &amp; Membership Committee")</f>
        <v>Elections &amp; Membership Committee</v>
      </c>
      <c r="E51" s="33" t="str">
        <f ca="1">IFERROR(__xludf.DUMMYFUNCTION("""COMPUTED_VALUE"""),"Chair")</f>
        <v>Chair</v>
      </c>
      <c r="F51" s="33"/>
      <c r="G51" s="34"/>
    </row>
    <row r="52" spans="1:7" ht="13">
      <c r="A52" s="34" t="str">
        <f t="shared" ca="1" si="0"/>
        <v>Hammond, G</v>
      </c>
      <c r="B52" s="33" t="str">
        <f ca="1">IFERROR(__xludf.DUMMYFUNCTION("""COMPUTED_VALUE"""),"Hammond")</f>
        <v>Hammond</v>
      </c>
      <c r="C52" s="33" t="str">
        <f ca="1">IFERROR(__xludf.DUMMYFUNCTION("""COMPUTED_VALUE"""),"Giles")</f>
        <v>Giles</v>
      </c>
      <c r="D52" s="33" t="str">
        <f ca="1">IFERROR(__xludf.DUMMYFUNCTION("""COMPUTED_VALUE"""),"Seismic Isolation &amp; Suspensions WG")</f>
        <v>Seismic Isolation &amp; Suspensions WG</v>
      </c>
      <c r="E52" s="33" t="str">
        <f ca="1">IFERROR(__xludf.DUMMYFUNCTION("""COMPUTED_VALUE"""),"Chair")</f>
        <v>Chair</v>
      </c>
      <c r="F52" s="33"/>
      <c r="G52" s="34"/>
    </row>
    <row r="53" spans="1:7" ht="13">
      <c r="A53" s="34" t="str">
        <f t="shared" ca="1" si="0"/>
        <v>Haney, M</v>
      </c>
      <c r="B53" s="33" t="str">
        <f ca="1">IFERROR(__xludf.DUMMYFUNCTION("""COMPUTED_VALUE"""),"Haney")</f>
        <v>Haney</v>
      </c>
      <c r="C53" s="33" t="str">
        <f ca="1">IFERROR(__xludf.DUMMYFUNCTION("""COMPUTED_VALUE"""),"Maria")</f>
        <v>Maria</v>
      </c>
      <c r="D53" s="33" t="str">
        <f ca="1">IFERROR(__xludf.DUMMYFUNCTION("""COMPUTED_VALUE"""),"Waveform Models Subgroup")</f>
        <v>Waveform Models Subgroup</v>
      </c>
      <c r="E53" s="33" t="str">
        <f ca="1">IFERROR(__xludf.DUMMYFUNCTION("""COMPUTED_VALUE"""),"Chair")</f>
        <v>Chair</v>
      </c>
      <c r="F53" s="33"/>
      <c r="G53" s="34"/>
    </row>
    <row r="54" spans="1:7" ht="13">
      <c r="A54" s="34" t="str">
        <f t="shared" ca="1" si="0"/>
        <v>Harry, I [CBC]</v>
      </c>
      <c r="B54" s="33" t="str">
        <f ca="1">IFERROR(__xludf.DUMMYFUNCTION("""COMPUTED_VALUE"""),"Harry")</f>
        <v>Harry</v>
      </c>
      <c r="C54" s="33" t="str">
        <f ca="1">IFERROR(__xludf.DUMMYFUNCTION("""COMPUTED_VALUE"""),"Ian")</f>
        <v>Ian</v>
      </c>
      <c r="D54" s="33" t="str">
        <f ca="1">IFERROR(__xludf.DUMMYFUNCTION("""COMPUTED_VALUE"""),"All-sky Searches Subgroup CBC Burst")</f>
        <v>All-sky Searches Subgroup CBC Burst</v>
      </c>
      <c r="E54" s="33" t="str">
        <f ca="1">IFERROR(__xludf.DUMMYFUNCTION("""COMPUTED_VALUE"""),"Chair")</f>
        <v>Chair</v>
      </c>
      <c r="F54" s="33" t="str">
        <f ca="1">IFERROR(__xludf.DUMMYFUNCTION("""COMPUTED_VALUE"""),"CBC")</f>
        <v>CBC</v>
      </c>
      <c r="G54" s="34"/>
    </row>
    <row r="55" spans="1:7" ht="13">
      <c r="A55" s="34" t="str">
        <f t="shared" ca="1" si="0"/>
        <v>Hendry, M [MT]</v>
      </c>
      <c r="B55" s="33" t="str">
        <f ca="1">IFERROR(__xludf.DUMMYFUNCTION("""COMPUTED_VALUE"""),"Hendry")</f>
        <v>Hendry</v>
      </c>
      <c r="C55" s="33" t="str">
        <f ca="1">IFERROR(__xludf.DUMMYFUNCTION("""COMPUTED_VALUE"""),"Martin")</f>
        <v>Martin</v>
      </c>
      <c r="D55" s="33" t="str">
        <f ca="1">IFERROR(__xludf.DUMMYFUNCTION("""COMPUTED_VALUE"""),"Communications Division")</f>
        <v>Communications Division</v>
      </c>
      <c r="E55" s="33" t="str">
        <f ca="1">IFERROR(__xludf.DUMMYFUNCTION("""COMPUTED_VALUE"""),"Chair")</f>
        <v>Chair</v>
      </c>
      <c r="F55" s="33" t="str">
        <f ca="1">IFERROR(__xludf.DUMMYFUNCTION("""COMPUTED_VALUE"""),"MT")</f>
        <v>MT</v>
      </c>
      <c r="G55" s="34"/>
    </row>
    <row r="56" spans="1:7" ht="13">
      <c r="A56" s="34" t="str">
        <f t="shared" ca="1" si="0"/>
        <v>Heng, I</v>
      </c>
      <c r="B56" s="33" t="str">
        <f ca="1">IFERROR(__xludf.DUMMYFUNCTION("""COMPUTED_VALUE"""),"Heng")</f>
        <v>Heng</v>
      </c>
      <c r="C56" s="33" t="str">
        <f ca="1">IFERROR(__xludf.DUMMYFUNCTION("""COMPUTED_VALUE"""),"Ik Siong")</f>
        <v>Ik Siong</v>
      </c>
      <c r="D56" s="33" t="str">
        <f ca="1">IFERROR(__xludf.DUMMYFUNCTION("""COMPUTED_VALUE"""),"Meetings Committee")</f>
        <v>Meetings Committee</v>
      </c>
      <c r="E56" s="33" t="str">
        <f ca="1">IFERROR(__xludf.DUMMYFUNCTION("""COMPUTED_VALUE"""),"Chair")</f>
        <v>Chair</v>
      </c>
      <c r="F56" s="33"/>
      <c r="G56" s="34"/>
    </row>
    <row r="57" spans="1:7" ht="13">
      <c r="A57" s="34" t="str">
        <f t="shared" ca="1" si="0"/>
        <v>Hughey, B [MT]</v>
      </c>
      <c r="B57" s="33" t="str">
        <f ca="1">IFERROR(__xludf.DUMMYFUNCTION("""COMPUTED_VALUE"""),"Hughey")</f>
        <v>Hughey</v>
      </c>
      <c r="C57" s="33" t="str">
        <f ca="1">IFERROR(__xludf.DUMMYFUNCTION("""COMPUTED_VALUE"""),"Brennan")</f>
        <v>Brennan</v>
      </c>
      <c r="D57" s="33" t="str">
        <f ca="1">IFERROR(__xludf.DUMMYFUNCTION("""COMPUTED_VALUE"""),"Detector Characterization WG")</f>
        <v>Detector Characterization WG</v>
      </c>
      <c r="E57" s="33" t="str">
        <f ca="1">IFERROR(__xludf.DUMMYFUNCTION("""COMPUTED_VALUE"""),"Chair")</f>
        <v>Chair</v>
      </c>
      <c r="F57" s="33" t="str">
        <f ca="1">IFERROR(__xludf.DUMMYFUNCTION("""COMPUTED_VALUE"""),"MT")</f>
        <v>MT</v>
      </c>
      <c r="G57" s="34"/>
    </row>
    <row r="58" spans="1:7" ht="13">
      <c r="A58" s="34" t="str">
        <f t="shared" ca="1" si="0"/>
        <v>Janssens, K</v>
      </c>
      <c r="B58" s="33" t="str">
        <f ca="1">IFERROR(__xludf.DUMMYFUNCTION("""COMPUTED_VALUE"""),"Janssens")</f>
        <v>Janssens</v>
      </c>
      <c r="C58" s="33" t="str">
        <f ca="1">IFERROR(__xludf.DUMMYFUNCTION("""COMPUTED_VALUE"""),"Kamiel")</f>
        <v>Kamiel</v>
      </c>
      <c r="D58" s="33" t="str">
        <f ca="1">IFERROR(__xludf.DUMMYFUNCTION("""COMPUTED_VALUE"""),"Detector Characterization Subgroup Stochastic")</f>
        <v>Detector Characterization Subgroup Stochastic</v>
      </c>
      <c r="E58" s="33" t="str">
        <f ca="1">IFERROR(__xludf.DUMMYFUNCTION("""COMPUTED_VALUE"""),"Chair")</f>
        <v>Chair</v>
      </c>
      <c r="F58" s="33"/>
      <c r="G58" s="34"/>
    </row>
    <row r="59" spans="1:7" ht="13">
      <c r="A59" s="34" t="str">
        <f t="shared" ca="1" si="0"/>
        <v>Jones, I</v>
      </c>
      <c r="B59" s="33" t="str">
        <f ca="1">IFERROR(__xludf.DUMMYFUNCTION("""COMPUTED_VALUE"""),"Jones")</f>
        <v>Jones</v>
      </c>
      <c r="C59" s="33" t="str">
        <f ca="1">IFERROR(__xludf.DUMMYFUNCTION("""COMPUTED_VALUE"""),"Ian")</f>
        <v>Ian</v>
      </c>
      <c r="D59" s="33" t="str">
        <f ca="1">IFERROR(__xludf.DUMMYFUNCTION("""COMPUTED_VALUE"""),"CW Review Chairs")</f>
        <v>CW Review Chairs</v>
      </c>
      <c r="E59" s="33" t="str">
        <f ca="1">IFERROR(__xludf.DUMMYFUNCTION("""COMPUTED_VALUE"""),"Chair")</f>
        <v>Chair</v>
      </c>
      <c r="F59" s="33"/>
      <c r="G59" s="34"/>
    </row>
    <row r="60" spans="1:7" ht="13">
      <c r="A60" s="34" t="str">
        <f t="shared" ca="1" si="0"/>
        <v>Kandhasamy, S</v>
      </c>
      <c r="B60" s="33" t="str">
        <f ca="1">IFERROR(__xludf.DUMMYFUNCTION("""COMPUTED_VALUE"""),"Kandhasamy")</f>
        <v>Kandhasamy</v>
      </c>
      <c r="C60" s="33" t="str">
        <f ca="1">IFERROR(__xludf.DUMMYFUNCTION("""COMPUTED_VALUE"""),"Shivaraj")</f>
        <v>Shivaraj</v>
      </c>
      <c r="D60" s="33" t="str">
        <f ca="1">IFERROR(__xludf.DUMMYFUNCTION("""COMPUTED_VALUE"""),"Stochastic WG")</f>
        <v>Stochastic WG</v>
      </c>
      <c r="E60" s="33" t="str">
        <f ca="1">IFERROR(__xludf.DUMMYFUNCTION("""COMPUTED_VALUE"""),"Chair")</f>
        <v>Chair</v>
      </c>
      <c r="F60" s="33"/>
      <c r="G60" s="34"/>
    </row>
    <row r="61" spans="1:7" ht="13">
      <c r="A61" s="34" t="str">
        <f t="shared" ca="1" si="0"/>
        <v>Kanner, J</v>
      </c>
      <c r="B61" s="33" t="str">
        <f ca="1">IFERROR(__xludf.DUMMYFUNCTION("""COMPUTED_VALUE"""),"Kanner")</f>
        <v>Kanner</v>
      </c>
      <c r="C61" s="33" t="str">
        <f ca="1">IFERROR(__xludf.DUMMYFUNCTION("""COMPUTED_VALUE"""),"Jonah")</f>
        <v>Jonah</v>
      </c>
      <c r="D61" s="33" t="str">
        <f ca="1">IFERROR(__xludf.DUMMYFUNCTION("""COMPUTED_VALUE"""),"Open Data WG")</f>
        <v>Open Data WG</v>
      </c>
      <c r="E61" s="33" t="str">
        <f ca="1">IFERROR(__xludf.DUMMYFUNCTION("""COMPUTED_VALUE"""),"Chair")</f>
        <v>Chair</v>
      </c>
      <c r="F61" s="33"/>
      <c r="G61" s="34"/>
    </row>
    <row r="62" spans="1:7" ht="13">
      <c r="A62" s="34" t="str">
        <f t="shared" ca="1" si="0"/>
        <v>Keitel, D</v>
      </c>
      <c r="B62" s="33" t="str">
        <f ca="1">IFERROR(__xludf.DUMMYFUNCTION("""COMPUTED_VALUE"""),"Keitel")</f>
        <v>Keitel</v>
      </c>
      <c r="C62" s="33" t="str">
        <f ca="1">IFERROR(__xludf.DUMMYFUNCTION("""COMPUTED_VALUE"""),"David")</f>
        <v>David</v>
      </c>
      <c r="D62" s="33" t="str">
        <f ca="1">IFERROR(__xludf.DUMMYFUNCTION("""COMPUTED_VALUE"""),"Program Committee")</f>
        <v>Program Committee</v>
      </c>
      <c r="E62" s="33" t="str">
        <f ca="1">IFERROR(__xludf.DUMMYFUNCTION("""COMPUTED_VALUE"""),"Member")</f>
        <v>Member</v>
      </c>
      <c r="F62" s="33"/>
      <c r="G62" s="34"/>
    </row>
    <row r="63" spans="1:7" ht="13">
      <c r="A63" s="34" t="str">
        <f t="shared" ca="1" si="0"/>
        <v>Klimenko, S [cWB]</v>
      </c>
      <c r="B63" s="33" t="str">
        <f ca="1">IFERROR(__xludf.DUMMYFUNCTION("""COMPUTED_VALUE"""),"Klimenko")</f>
        <v>Klimenko</v>
      </c>
      <c r="C63" s="33" t="str">
        <f ca="1">IFERROR(__xludf.DUMMYFUNCTION("""COMPUTED_VALUE"""),"Sergei")</f>
        <v>Sergei</v>
      </c>
      <c r="D63" s="33" t="str">
        <f ca="1">IFERROR(__xludf.DUMMYFUNCTION("""COMPUTED_VALUE"""),"Burst Pipeline Support, R&amp;D")</f>
        <v>Burst Pipeline Support, R&amp;D</v>
      </c>
      <c r="E63" s="33" t="str">
        <f ca="1">IFERROR(__xludf.DUMMYFUNCTION("""COMPUTED_VALUE"""),"Chair")</f>
        <v>Chair</v>
      </c>
      <c r="F63" s="33" t="str">
        <f ca="1">IFERROR(__xludf.DUMMYFUNCTION("""COMPUTED_VALUE"""),"cWB")</f>
        <v>cWB</v>
      </c>
      <c r="G63" s="34"/>
    </row>
    <row r="64" spans="1:7" ht="13">
      <c r="A64" s="34" t="str">
        <f t="shared" ca="1" si="0"/>
        <v>Lazzaro, C</v>
      </c>
      <c r="B64" s="33" t="str">
        <f ca="1">IFERROR(__xludf.DUMMYFUNCTION("""COMPUTED_VALUE"""),"Lazzaro")</f>
        <v>Lazzaro</v>
      </c>
      <c r="C64" s="33" t="str">
        <f ca="1">IFERROR(__xludf.DUMMYFUNCTION("""COMPUTED_VALUE"""),"Claudia")</f>
        <v>Claudia</v>
      </c>
      <c r="D64" s="33" t="str">
        <f ca="1">IFERROR(__xludf.DUMMYFUNCTION("""COMPUTED_VALUE"""),"All-sky Unmodeled (long) Subgroup Burst")</f>
        <v>All-sky Unmodeled (long) Subgroup Burst</v>
      </c>
      <c r="E64" s="33" t="str">
        <f ca="1">IFERROR(__xludf.DUMMYFUNCTION("""COMPUTED_VALUE"""),"Chair")</f>
        <v>Chair</v>
      </c>
      <c r="F64" s="33"/>
      <c r="G64" s="34"/>
    </row>
    <row r="65" spans="1:7" ht="13">
      <c r="A65" s="34" t="str">
        <f t="shared" ca="1" si="0"/>
        <v>Li, T</v>
      </c>
      <c r="B65" s="33" t="str">
        <f ca="1">IFERROR(__xludf.DUMMYFUNCTION("""COMPUTED_VALUE"""),"Li")</f>
        <v>Li</v>
      </c>
      <c r="C65" s="33" t="str">
        <f ca="1">IFERROR(__xludf.DUMMYFUNCTION("""COMPUTED_VALUE"""),"Tjonnie")</f>
        <v>Tjonnie</v>
      </c>
      <c r="D65" s="33" t="str">
        <f ca="1">IFERROR(__xludf.DUMMYFUNCTION("""COMPUTED_VALUE"""),"Testing GR Subgroup CBC")</f>
        <v>Testing GR Subgroup CBC</v>
      </c>
      <c r="E65" s="33" t="str">
        <f ca="1">IFERROR(__xludf.DUMMYFUNCTION("""COMPUTED_VALUE"""),"Chair")</f>
        <v>Chair</v>
      </c>
      <c r="F65" s="33"/>
      <c r="G65" s="34"/>
    </row>
    <row r="66" spans="1:7" ht="13">
      <c r="A66" s="34" t="str">
        <f t="shared" ca="1" si="0"/>
        <v>Macas, R</v>
      </c>
      <c r="B66" s="33" t="str">
        <f ca="1">IFERROR(__xludf.DUMMYFUNCTION("""COMPUTED_VALUE"""),"Macas")</f>
        <v>Macas</v>
      </c>
      <c r="C66" s="33" t="str">
        <f ca="1">IFERROR(__xludf.DUMMYFUNCTION("""COMPUTED_VALUE"""),"Ronaldas")</f>
        <v>Ronaldas</v>
      </c>
      <c r="D66" s="33" t="str">
        <f ca="1">IFERROR(__xludf.DUMMYFUNCTION("""COMPUTED_VALUE"""),"Event Validation Leads Detchar")</f>
        <v>Event Validation Leads Detchar</v>
      </c>
      <c r="E66" s="33" t="str">
        <f ca="1">IFERROR(__xludf.DUMMYFUNCTION("""COMPUTED_VALUE"""),"Lead")</f>
        <v>Lead</v>
      </c>
      <c r="F66" s="33"/>
      <c r="G66" s="34"/>
    </row>
    <row r="67" spans="1:7" ht="13">
      <c r="A67" s="34" t="str">
        <f t="shared" ca="1" si="0"/>
        <v>MacLeod, D [MT]</v>
      </c>
      <c r="B67" s="33" t="str">
        <f ca="1">IFERROR(__xludf.DUMMYFUNCTION("""COMPUTED_VALUE"""),"MacLeod")</f>
        <v>MacLeod</v>
      </c>
      <c r="C67" s="33" t="str">
        <f ca="1">IFERROR(__xludf.DUMMYFUNCTION("""COMPUTED_VALUE"""),"Duncan")</f>
        <v>Duncan</v>
      </c>
      <c r="D67" s="33" t="str">
        <f ca="1">IFERROR(__xludf.DUMMYFUNCTION("""COMPUTED_VALUE"""),"Computing &amp; Software WG")</f>
        <v>Computing &amp; Software WG</v>
      </c>
      <c r="E67" s="33" t="str">
        <f ca="1">IFERROR(__xludf.DUMMYFUNCTION("""COMPUTED_VALUE"""),"Chair")</f>
        <v>Chair</v>
      </c>
      <c r="F67" s="33" t="str">
        <f ca="1">IFERROR(__xludf.DUMMYFUNCTION("""COMPUTED_VALUE"""),"MT")</f>
        <v>MT</v>
      </c>
      <c r="G67" s="34"/>
    </row>
    <row r="68" spans="1:7" ht="13">
      <c r="A68" s="34" t="str">
        <f t="shared" ca="1" si="0"/>
        <v>Macquet, A [STAMP-AS]</v>
      </c>
      <c r="B68" s="33" t="str">
        <f ca="1">IFERROR(__xludf.DUMMYFUNCTION("""COMPUTED_VALUE"""),"Macquet")</f>
        <v>Macquet</v>
      </c>
      <c r="C68" s="33" t="str">
        <f ca="1">IFERROR(__xludf.DUMMYFUNCTION("""COMPUTED_VALUE"""),"Adrian")</f>
        <v>Adrian</v>
      </c>
      <c r="D68" s="33" t="str">
        <f ca="1">IFERROR(__xludf.DUMMYFUNCTION("""COMPUTED_VALUE"""),"Burst Pipeline Support, R&amp;D")</f>
        <v>Burst Pipeline Support, R&amp;D</v>
      </c>
      <c r="E68" s="33" t="str">
        <f ca="1">IFERROR(__xludf.DUMMYFUNCTION("""COMPUTED_VALUE"""),"Chair")</f>
        <v>Chair</v>
      </c>
      <c r="F68" s="33" t="str">
        <f ca="1">IFERROR(__xludf.DUMMYFUNCTION("""COMPUTED_VALUE"""),"STAMP-AS")</f>
        <v>STAMP-AS</v>
      </c>
      <c r="G68" s="34"/>
    </row>
    <row r="69" spans="1:7" ht="13">
      <c r="A69" s="34" t="str">
        <f t="shared" ca="1" si="0"/>
        <v>Mandic , V</v>
      </c>
      <c r="B69" s="33" t="str">
        <f ca="1">IFERROR(__xludf.DUMMYFUNCTION("""COMPUTED_VALUE"""),"Mandic ")</f>
        <v xml:space="preserve">Mandic </v>
      </c>
      <c r="C69" s="33" t="str">
        <f ca="1">IFERROR(__xludf.DUMMYFUNCTION("""COMPUTED_VALUE"""),"Vuk")</f>
        <v>Vuk</v>
      </c>
      <c r="D69" s="33" t="str">
        <f ca="1">IFERROR(__xludf.DUMMYFUNCTION("""COMPUTED_VALUE"""),"Program Committee")</f>
        <v>Program Committee</v>
      </c>
      <c r="E69" s="33" t="str">
        <f ca="1">IFERROR(__xludf.DUMMYFUNCTION("""COMPUTED_VALUE"""),"Deputy Chair")</f>
        <v>Deputy Chair</v>
      </c>
      <c r="F69" s="33"/>
      <c r="G69" s="34"/>
    </row>
    <row r="70" spans="1:7" ht="13">
      <c r="A70" s="34" t="str">
        <f t="shared" ca="1" si="0"/>
        <v>Mandic , V [MT]</v>
      </c>
      <c r="B70" s="33" t="str">
        <f ca="1">IFERROR(__xludf.DUMMYFUNCTION("""COMPUTED_VALUE"""),"Mandic ")</f>
        <v xml:space="preserve">Mandic </v>
      </c>
      <c r="C70" s="33" t="str">
        <f ca="1">IFERROR(__xludf.DUMMYFUNCTION("""COMPUTED_VALUE"""),"Vuk")</f>
        <v>Vuk</v>
      </c>
      <c r="D70" s="33" t="str">
        <f ca="1">IFERROR(__xludf.DUMMYFUNCTION("""COMPUTED_VALUE"""),"Stochastic WG")</f>
        <v>Stochastic WG</v>
      </c>
      <c r="E70" s="33" t="str">
        <f ca="1">IFERROR(__xludf.DUMMYFUNCTION("""COMPUTED_VALUE"""),"Chair")</f>
        <v>Chair</v>
      </c>
      <c r="F70" s="33" t="str">
        <f ca="1">IFERROR(__xludf.DUMMYFUNCTION("""COMPUTED_VALUE"""),"MT")</f>
        <v>MT</v>
      </c>
      <c r="G70" s="34"/>
    </row>
    <row r="71" spans="1:7" ht="13">
      <c r="A71" s="34" t="str">
        <f t="shared" ca="1" si="0"/>
        <v>Marka, Z [LLAMA]</v>
      </c>
      <c r="B71" s="33" t="str">
        <f ca="1">IFERROR(__xludf.DUMMYFUNCTION("""COMPUTED_VALUE"""),"Marka")</f>
        <v>Marka</v>
      </c>
      <c r="C71" s="33" t="str">
        <f ca="1">IFERROR(__xludf.DUMMYFUNCTION("""COMPUTED_VALUE"""),"Zsuzsa")</f>
        <v>Zsuzsa</v>
      </c>
      <c r="D71" s="33" t="str">
        <f ca="1">IFERROR(__xludf.DUMMYFUNCTION("""COMPUTED_VALUE"""),"Burst Pipeline Support, R&amp;D")</f>
        <v>Burst Pipeline Support, R&amp;D</v>
      </c>
      <c r="E71" s="33" t="str">
        <f ca="1">IFERROR(__xludf.DUMMYFUNCTION("""COMPUTED_VALUE"""),"Chair")</f>
        <v>Chair</v>
      </c>
      <c r="F71" s="33" t="str">
        <f ca="1">IFERROR(__xludf.DUMMYFUNCTION("""COMPUTED_VALUE"""),"LLAMA")</f>
        <v>LLAMA</v>
      </c>
      <c r="G71" s="34"/>
    </row>
    <row r="72" spans="1:7" ht="13">
      <c r="A72" s="34" t="str">
        <f t="shared" ca="1" si="0"/>
        <v>Marka, Z</v>
      </c>
      <c r="B72" s="33" t="str">
        <f ca="1">IFERROR(__xludf.DUMMYFUNCTION("""COMPUTED_VALUE"""),"Marka")</f>
        <v>Marka</v>
      </c>
      <c r="C72" s="33" t="str">
        <f ca="1">IFERROR(__xludf.DUMMYFUNCTION("""COMPUTED_VALUE"""),"Zsuzsa")</f>
        <v>Zsuzsa</v>
      </c>
      <c r="D72" s="33" t="str">
        <f ca="1">IFERROR(__xludf.DUMMYFUNCTION("""COMPUTED_VALUE"""),"High-energy neutrinos")</f>
        <v>High-energy neutrinos</v>
      </c>
      <c r="E72" s="33" t="str">
        <f ca="1">IFERROR(__xludf.DUMMYFUNCTION("""COMPUTED_VALUE"""),"Chair")</f>
        <v>Chair</v>
      </c>
      <c r="F72" s="33"/>
      <c r="G72" s="34"/>
    </row>
    <row r="73" spans="1:7" ht="13">
      <c r="A73" s="34" t="str">
        <f t="shared" ca="1" si="0"/>
        <v>Marka, Z</v>
      </c>
      <c r="B73" s="33" t="str">
        <f ca="1">IFERROR(__xludf.DUMMYFUNCTION("""COMPUTED_VALUE"""),"Marka")</f>
        <v>Marka</v>
      </c>
      <c r="C73" s="33" t="str">
        <f ca="1">IFERROR(__xludf.DUMMYFUNCTION("""COMPUTED_VALUE"""),"Zsuzsa")</f>
        <v>Zsuzsa</v>
      </c>
      <c r="D73" s="33" t="str">
        <f ca="1">IFERROR(__xludf.DUMMYFUNCTION("""COMPUTED_VALUE"""),"Program Committee")</f>
        <v>Program Committee</v>
      </c>
      <c r="E73" s="33" t="str">
        <f ca="1">IFERROR(__xludf.DUMMYFUNCTION("""COMPUTED_VALUE"""),"Member")</f>
        <v>Member</v>
      </c>
      <c r="F73" s="33"/>
      <c r="G73" s="34"/>
    </row>
    <row r="74" spans="1:7" ht="13">
      <c r="A74" s="34" t="str">
        <f t="shared" ca="1" si="0"/>
        <v>Marx, E [oLIB]</v>
      </c>
      <c r="B74" s="33" t="str">
        <f ca="1">IFERROR(__xludf.DUMMYFUNCTION("""COMPUTED_VALUE"""),"Marx")</f>
        <v>Marx</v>
      </c>
      <c r="C74" s="33" t="str">
        <f ca="1">IFERROR(__xludf.DUMMYFUNCTION("""COMPUTED_VALUE"""),"Ethan")</f>
        <v>Ethan</v>
      </c>
      <c r="D74" s="33" t="str">
        <f ca="1">IFERROR(__xludf.DUMMYFUNCTION("""COMPUTED_VALUE"""),"Burst Pipeline Support, R&amp;D")</f>
        <v>Burst Pipeline Support, R&amp;D</v>
      </c>
      <c r="E74" s="33" t="str">
        <f ca="1">IFERROR(__xludf.DUMMYFUNCTION("""COMPUTED_VALUE"""),"Chair")</f>
        <v>Chair</v>
      </c>
      <c r="F74" s="33" t="str">
        <f ca="1">IFERROR(__xludf.DUMMYFUNCTION("""COMPUTED_VALUE"""),"oLIB")</f>
        <v>oLIB</v>
      </c>
      <c r="G74" s="34"/>
    </row>
    <row r="75" spans="1:7" ht="13">
      <c r="A75" s="34" t="str">
        <f t="shared" ca="1" si="0"/>
        <v>McCuller, L</v>
      </c>
      <c r="B75" s="33" t="str">
        <f ca="1">IFERROR(__xludf.DUMMYFUNCTION("""COMPUTED_VALUE"""),"McCuller")</f>
        <v>McCuller</v>
      </c>
      <c r="C75" s="33" t="str">
        <f ca="1">IFERROR(__xludf.DUMMYFUNCTION("""COMPUTED_VALUE"""),"Lee")</f>
        <v>Lee</v>
      </c>
      <c r="D75" s="33" t="str">
        <f ca="1">IFERROR(__xludf.DUMMYFUNCTION("""COMPUTED_VALUE"""),"Quantum Noise WG")</f>
        <v>Quantum Noise WG</v>
      </c>
      <c r="E75" s="33" t="str">
        <f ca="1">IFERROR(__xludf.DUMMYFUNCTION("""COMPUTED_VALUE"""),"Chair")</f>
        <v>Chair</v>
      </c>
      <c r="F75" s="33"/>
      <c r="G75" s="34"/>
    </row>
    <row r="76" spans="1:7" ht="13">
      <c r="A76" s="34" t="str">
        <f t="shared" ca="1" si="0"/>
        <v>McIver, J</v>
      </c>
      <c r="B76" s="33" t="str">
        <f ca="1">IFERROR(__xludf.DUMMYFUNCTION("""COMPUTED_VALUE"""),"McIver")</f>
        <v>McIver</v>
      </c>
      <c r="C76" s="33" t="str">
        <f ca="1">IFERROR(__xludf.DUMMYFUNCTION("""COMPUTED_VALUE"""),"Jess")</f>
        <v>Jess</v>
      </c>
      <c r="D76" s="33" t="str">
        <f ca="1">IFERROR(__xludf.DUMMYFUNCTION("""COMPUTED_VALUE"""),"Detector Characterization Review Chairs")</f>
        <v>Detector Characterization Review Chairs</v>
      </c>
      <c r="E76" s="33" t="str">
        <f ca="1">IFERROR(__xludf.DUMMYFUNCTION("""COMPUTED_VALUE"""),"Chair")</f>
        <v>Chair</v>
      </c>
      <c r="F76" s="33"/>
      <c r="G76" s="34"/>
    </row>
    <row r="77" spans="1:7" ht="13">
      <c r="A77" s="34" t="str">
        <f t="shared" ca="1" si="0"/>
        <v>Messenger, C</v>
      </c>
      <c r="B77" s="33" t="str">
        <f ca="1">IFERROR(__xludf.DUMMYFUNCTION("""COMPUTED_VALUE"""),"Messenger")</f>
        <v>Messenger</v>
      </c>
      <c r="C77" s="33" t="str">
        <f ca="1">IFERROR(__xludf.DUMMYFUNCTION("""COMPUTED_VALUE"""),"Christopher")</f>
        <v>Christopher</v>
      </c>
      <c r="D77" s="33" t="str">
        <f ca="1">IFERROR(__xludf.DUMMYFUNCTION("""COMPUTED_VALUE"""),"Compact Binaries Review Chairs")</f>
        <v>Compact Binaries Review Chairs</v>
      </c>
      <c r="E77" s="33" t="str">
        <f ca="1">IFERROR(__xludf.DUMMYFUNCTION("""COMPUTED_VALUE"""),"Chair")</f>
        <v>Chair</v>
      </c>
      <c r="F77" s="33"/>
      <c r="G77" s="34"/>
    </row>
    <row r="78" spans="1:7" ht="13">
      <c r="A78" s="34" t="str">
        <f t="shared" ca="1" si="0"/>
        <v>Middleton, H</v>
      </c>
      <c r="B78" s="33" t="str">
        <f ca="1">IFERROR(__xludf.DUMMYFUNCTION("""COMPUTED_VALUE"""),"Middleton")</f>
        <v>Middleton</v>
      </c>
      <c r="C78" s="33" t="str">
        <f ca="1">IFERROR(__xludf.DUMMYFUNCTION("""COMPUTED_VALUE"""),"Hannah")</f>
        <v>Hannah</v>
      </c>
      <c r="D78" s="33" t="str">
        <f ca="1">IFERROR(__xludf.DUMMYFUNCTION("""COMPUTED_VALUE"""),"LIGO Magazine")</f>
        <v>LIGO Magazine</v>
      </c>
      <c r="E78" s="33" t="str">
        <f ca="1">IFERROR(__xludf.DUMMYFUNCTION("""COMPUTED_VALUE"""),"Editor-in-Chief")</f>
        <v>Editor-in-Chief</v>
      </c>
      <c r="F78" s="33"/>
      <c r="G78" s="34"/>
    </row>
    <row r="79" spans="1:7" ht="13">
      <c r="A79" s="34" t="str">
        <f t="shared" ca="1" si="0"/>
        <v>Millhouse, M [BayesWave]</v>
      </c>
      <c r="B79" s="33" t="str">
        <f ca="1">IFERROR(__xludf.DUMMYFUNCTION("""COMPUTED_VALUE"""),"Millhouse")</f>
        <v>Millhouse</v>
      </c>
      <c r="C79" s="33" t="str">
        <f ca="1">IFERROR(__xludf.DUMMYFUNCTION("""COMPUTED_VALUE"""),"Meg")</f>
        <v>Meg</v>
      </c>
      <c r="D79" s="33" t="str">
        <f ca="1">IFERROR(__xludf.DUMMYFUNCTION("""COMPUTED_VALUE"""),"Burst Pipeline Support, R&amp;D")</f>
        <v>Burst Pipeline Support, R&amp;D</v>
      </c>
      <c r="E79" s="33" t="str">
        <f ca="1">IFERROR(__xludf.DUMMYFUNCTION("""COMPUTED_VALUE"""),"Chair")</f>
        <v>Chair</v>
      </c>
      <c r="F79" s="33" t="str">
        <f ca="1">IFERROR(__xludf.DUMMYFUNCTION("""COMPUTED_VALUE"""),"BayesWave")</f>
        <v>BayesWave</v>
      </c>
      <c r="G79" s="34"/>
    </row>
    <row r="80" spans="1:7" ht="13">
      <c r="A80" s="34" t="str">
        <f t="shared" ca="1" si="0"/>
        <v>Milotti, E [Burst]</v>
      </c>
      <c r="B80" s="33" t="str">
        <f ca="1">IFERROR(__xludf.DUMMYFUNCTION("""COMPUTED_VALUE"""),"Milotti")</f>
        <v>Milotti</v>
      </c>
      <c r="C80" s="33" t="str">
        <f ca="1">IFERROR(__xludf.DUMMYFUNCTION("""COMPUTED_VALUE"""),"Edoardo")</f>
        <v>Edoardo</v>
      </c>
      <c r="D80" s="33" t="str">
        <f ca="1">IFERROR(__xludf.DUMMYFUNCTION("""COMPUTED_VALUE"""),"All-sky Searches Subgroup CBC Burst")</f>
        <v>All-sky Searches Subgroup CBC Burst</v>
      </c>
      <c r="E80" s="33" t="str">
        <f ca="1">IFERROR(__xludf.DUMMYFUNCTION("""COMPUTED_VALUE"""),"Chair")</f>
        <v>Chair</v>
      </c>
      <c r="F80" s="33" t="str">
        <f ca="1">IFERROR(__xludf.DUMMYFUNCTION("""COMPUTED_VALUE"""),"Burst")</f>
        <v>Burst</v>
      </c>
      <c r="G80" s="34"/>
    </row>
    <row r="81" spans="1:7" ht="13">
      <c r="A81" s="34" t="str">
        <f t="shared" ca="1" si="0"/>
        <v>Mo, G</v>
      </c>
      <c r="B81" s="33" t="str">
        <f ca="1">IFERROR(__xludf.DUMMYFUNCTION("""COMPUTED_VALUE"""),"Mo")</f>
        <v>Mo</v>
      </c>
      <c r="C81" s="33" t="str">
        <f ca="1">IFERROR(__xludf.DUMMYFUNCTION("""COMPUTED_VALUE"""),"Geoffrey")</f>
        <v>Geoffrey</v>
      </c>
      <c r="D81" s="33" t="str">
        <f ca="1">IFERROR(__xludf.DUMMYFUNCTION("""COMPUTED_VALUE"""),"Safety Studies Detchar")</f>
        <v>Safety Studies Detchar</v>
      </c>
      <c r="E81" s="33" t="str">
        <f ca="1">IFERROR(__xludf.DUMMYFUNCTION("""COMPUTED_VALUE"""),"Lead")</f>
        <v>Lead</v>
      </c>
      <c r="F81" s="33"/>
      <c r="G81" s="34"/>
    </row>
    <row r="82" spans="1:7" ht="13">
      <c r="A82" s="34" t="str">
        <f t="shared" ca="1" si="0"/>
        <v>Nguyen, P [LHO]</v>
      </c>
      <c r="B82" s="33" t="str">
        <f ca="1">IFERROR(__xludf.DUMMYFUNCTION("""COMPUTED_VALUE"""),"Nguyen")</f>
        <v>Nguyen</v>
      </c>
      <c r="C82" s="33" t="str">
        <f ca="1">IFERROR(__xludf.DUMMYFUNCTION("""COMPUTED_VALUE"""),"Phillippe")</f>
        <v>Phillippe</v>
      </c>
      <c r="D82" s="33" t="str">
        <f ca="1">IFERROR(__xludf.DUMMYFUNCTION("""COMPUTED_VALUE"""),"Instrumentation Leads Detchar")</f>
        <v>Instrumentation Leads Detchar</v>
      </c>
      <c r="E82" s="33" t="str">
        <f ca="1">IFERROR(__xludf.DUMMYFUNCTION("""COMPUTED_VALUE"""),"Lead")</f>
        <v>Lead</v>
      </c>
      <c r="F82" s="33" t="str">
        <f ca="1">IFERROR(__xludf.DUMMYFUNCTION("""COMPUTED_VALUE"""),"LHO")</f>
        <v>LHO</v>
      </c>
      <c r="G82" s="34"/>
    </row>
    <row r="83" spans="1:7" ht="13">
      <c r="A83" s="34" t="str">
        <f t="shared" ca="1" si="0"/>
        <v>O'Reilly, B [MT]</v>
      </c>
      <c r="B83" s="33" t="str">
        <f ca="1">IFERROR(__xludf.DUMMYFUNCTION("""COMPUTED_VALUE"""),"O'Reilly")</f>
        <v>O'Reilly</v>
      </c>
      <c r="C83" s="33" t="str">
        <f ca="1">IFERROR(__xludf.DUMMYFUNCTION("""COMPUTED_VALUE"""),"Brian")</f>
        <v>Brian</v>
      </c>
      <c r="D83" s="33" t="str">
        <f ca="1">IFERROR(__xludf.DUMMYFUNCTION("""COMPUTED_VALUE"""),"Operations Division")</f>
        <v>Operations Division</v>
      </c>
      <c r="E83" s="33" t="str">
        <f ca="1">IFERROR(__xludf.DUMMYFUNCTION("""COMPUTED_VALUE"""),"Chair")</f>
        <v>Chair</v>
      </c>
      <c r="F83" s="33" t="str">
        <f ca="1">IFERROR(__xludf.DUMMYFUNCTION("""COMPUTED_VALUE"""),"MT")</f>
        <v>MT</v>
      </c>
      <c r="G83" s="34"/>
    </row>
    <row r="84" spans="1:7" ht="13">
      <c r="A84" s="34" t="str">
        <f t="shared" ca="1" si="0"/>
        <v>O'Shaughnessy, R</v>
      </c>
      <c r="B84" s="33" t="str">
        <f ca="1">IFERROR(__xludf.DUMMYFUNCTION("""COMPUTED_VALUE"""),"O'Shaughnessy")</f>
        <v>O'Shaughnessy</v>
      </c>
      <c r="C84" s="33" t="str">
        <f ca="1">IFERROR(__xludf.DUMMYFUNCTION("""COMPUTED_VALUE"""),"Richard")</f>
        <v>Richard</v>
      </c>
      <c r="D84" s="33" t="str">
        <f ca="1">IFERROR(__xludf.DUMMYFUNCTION("""COMPUTED_VALUE"""),"Editorial Board")</f>
        <v>Editorial Board</v>
      </c>
      <c r="E84" s="33" t="str">
        <f ca="1">IFERROR(__xludf.DUMMYFUNCTION("""COMPUTED_VALUE"""),"Chair")</f>
        <v>Chair</v>
      </c>
      <c r="F84" s="33"/>
      <c r="G84" s="34"/>
    </row>
    <row r="85" spans="1:7" ht="13">
      <c r="A85" s="34" t="str">
        <f t="shared" ca="1" si="0"/>
        <v>Ohme, F</v>
      </c>
      <c r="B85" s="33" t="str">
        <f ca="1">IFERROR(__xludf.DUMMYFUNCTION("""COMPUTED_VALUE"""),"Ohme")</f>
        <v>Ohme</v>
      </c>
      <c r="C85" s="33" t="str">
        <f ca="1">IFERROR(__xludf.DUMMYFUNCTION("""COMPUTED_VALUE"""),"Frank")</f>
        <v>Frank</v>
      </c>
      <c r="D85" s="33" t="str">
        <f ca="1">IFERROR(__xludf.DUMMYFUNCTION("""COMPUTED_VALUE"""),"Academic Advisory Committee")</f>
        <v>Academic Advisory Committee</v>
      </c>
      <c r="E85" s="33" t="str">
        <f ca="1">IFERROR(__xludf.DUMMYFUNCTION("""COMPUTED_VALUE"""),"Chair")</f>
        <v>Chair</v>
      </c>
      <c r="F85" s="33"/>
      <c r="G85" s="34"/>
    </row>
    <row r="86" spans="1:7" ht="13">
      <c r="A86" s="34" t="str">
        <f t="shared" ca="1" si="0"/>
        <v>Ottaway, D</v>
      </c>
      <c r="B86" s="33" t="str">
        <f ca="1">IFERROR(__xludf.DUMMYFUNCTION("""COMPUTED_VALUE"""),"Ottaway")</f>
        <v>Ottaway</v>
      </c>
      <c r="C86" s="33" t="str">
        <f ca="1">IFERROR(__xludf.DUMMYFUNCTION("""COMPUTED_VALUE"""),"David")</f>
        <v>David</v>
      </c>
      <c r="D86" s="33" t="str">
        <f ca="1">IFERROR(__xludf.DUMMYFUNCTION("""COMPUTED_VALUE"""),"Program Committee")</f>
        <v>Program Committee</v>
      </c>
      <c r="E86" s="33" t="str">
        <f ca="1">IFERROR(__xludf.DUMMYFUNCTION("""COMPUTED_VALUE"""),"Member")</f>
        <v>Member</v>
      </c>
      <c r="F86" s="33"/>
      <c r="G86" s="34"/>
    </row>
    <row r="87" spans="1:7" ht="13">
      <c r="A87" s="34" t="str">
        <f t="shared" ca="1" si="0"/>
        <v>Pannarele, F</v>
      </c>
      <c r="B87" s="33" t="str">
        <f ca="1">IFERROR(__xludf.DUMMYFUNCTION("""COMPUTED_VALUE"""),"Pannarele")</f>
        <v>Pannarele</v>
      </c>
      <c r="C87" s="33" t="str">
        <f ca="1">IFERROR(__xludf.DUMMYFUNCTION("""COMPUTED_VALUE"""),"Francesco")</f>
        <v>Francesco</v>
      </c>
      <c r="D87" s="33" t="str">
        <f ca="1">IFERROR(__xludf.DUMMYFUNCTION("""COMPUTED_VALUE"""),"Burst Review Chairs")</f>
        <v>Burst Review Chairs</v>
      </c>
      <c r="E87" s="33" t="str">
        <f ca="1">IFERROR(__xludf.DUMMYFUNCTION("""COMPUTED_VALUE"""),"Chair")</f>
        <v>Chair</v>
      </c>
      <c r="F87" s="33"/>
      <c r="G87" s="34"/>
    </row>
    <row r="88" spans="1:7" ht="13">
      <c r="A88" s="34" t="str">
        <f t="shared" ca="1" si="0"/>
        <v>Pannarele, F</v>
      </c>
      <c r="B88" s="33" t="str">
        <f ca="1">IFERROR(__xludf.DUMMYFUNCTION("""COMPUTED_VALUE"""),"Pannarele")</f>
        <v>Pannarele</v>
      </c>
      <c r="C88" s="33" t="str">
        <f ca="1">IFERROR(__xludf.DUMMYFUNCTION("""COMPUTED_VALUE"""),"Francesco")</f>
        <v>Francesco</v>
      </c>
      <c r="D88" s="33" t="str">
        <f ca="1">IFERROR(__xludf.DUMMYFUNCTION("""COMPUTED_VALUE"""),"GRB/FRB/Magnetar Subgroup Burst")</f>
        <v>GRB/FRB/Magnetar Subgroup Burst</v>
      </c>
      <c r="E88" s="33" t="str">
        <f ca="1">IFERROR(__xludf.DUMMYFUNCTION("""COMPUTED_VALUE"""),"Chair")</f>
        <v>Chair</v>
      </c>
      <c r="F88" s="33"/>
      <c r="G88" s="34"/>
    </row>
    <row r="89" spans="1:7" ht="13">
      <c r="A89" s="34" t="str">
        <f t="shared" ca="1" si="0"/>
        <v>Penn, S [MT]</v>
      </c>
      <c r="B89" s="33" t="str">
        <f ca="1">IFERROR(__xludf.DUMMYFUNCTION("""COMPUTED_VALUE"""),"Penn")</f>
        <v>Penn</v>
      </c>
      <c r="C89" s="33" t="str">
        <f ca="1">IFERROR(__xludf.DUMMYFUNCTION("""COMPUTED_VALUE"""),"Steven")</f>
        <v>Steven</v>
      </c>
      <c r="D89" s="33" t="str">
        <f ca="1">IFERROR(__xludf.DUMMYFUNCTION("""COMPUTED_VALUE"""),"Council")</f>
        <v>Council</v>
      </c>
      <c r="E89" s="33" t="str">
        <f ca="1">IFERROR(__xludf.DUMMYFUNCTION("""COMPUTED_VALUE"""),"Chair")</f>
        <v>Chair</v>
      </c>
      <c r="F89" s="33" t="str">
        <f ca="1">IFERROR(__xludf.DUMMYFUNCTION("""COMPUTED_VALUE"""),"MT")</f>
        <v>MT</v>
      </c>
      <c r="G89" s="34"/>
    </row>
    <row r="90" spans="1:7" ht="13">
      <c r="A90" s="34" t="str">
        <f t="shared" ca="1" si="0"/>
        <v>Pham, K [Stochastic]</v>
      </c>
      <c r="B90" s="33" t="str">
        <f ca="1">IFERROR(__xludf.DUMMYFUNCTION("""COMPUTED_VALUE"""),"Pham")</f>
        <v>Pham</v>
      </c>
      <c r="C90" s="33" t="str">
        <f ca="1">IFERROR(__xludf.DUMMYFUNCTION("""COMPUTED_VALUE"""),"Kiet")</f>
        <v>Kiet</v>
      </c>
      <c r="D90" s="33" t="str">
        <f ca="1">IFERROR(__xludf.DUMMYFUNCTION("""COMPUTED_VALUE"""),"Liasons Detchar")</f>
        <v>Liasons Detchar</v>
      </c>
      <c r="E90" s="33" t="str">
        <f ca="1">IFERROR(__xludf.DUMMYFUNCTION("""COMPUTED_VALUE"""),"Liaison")</f>
        <v>Liaison</v>
      </c>
      <c r="F90" s="33" t="str">
        <f ca="1">IFERROR(__xludf.DUMMYFUNCTION("""COMPUTED_VALUE"""),"Stochastic")</f>
        <v>Stochastic</v>
      </c>
      <c r="G90" s="34"/>
    </row>
    <row r="91" spans="1:7" ht="13">
      <c r="A91" s="34" t="str">
        <f t="shared" ca="1" si="0"/>
        <v>Pitkin, M [MT]</v>
      </c>
      <c r="B91" s="33" t="str">
        <f ca="1">IFERROR(__xludf.DUMMYFUNCTION("""COMPUTED_VALUE"""),"Pitkin")</f>
        <v>Pitkin</v>
      </c>
      <c r="C91" s="33" t="str">
        <f ca="1">IFERROR(__xludf.DUMMYFUNCTION("""COMPUTED_VALUE"""),"Matthew")</f>
        <v>Matthew</v>
      </c>
      <c r="D91" s="33" t="str">
        <f ca="1">IFERROR(__xludf.DUMMYFUNCTION("""COMPUTED_VALUE"""),"Continuous Waves WG")</f>
        <v>Continuous Waves WG</v>
      </c>
      <c r="E91" s="33" t="str">
        <f ca="1">IFERROR(__xludf.DUMMYFUNCTION("""COMPUTED_VALUE"""),"Chair")</f>
        <v>Chair</v>
      </c>
      <c r="F91" s="33" t="str">
        <f ca="1">IFERROR(__xludf.DUMMYFUNCTION("""COMPUTED_VALUE"""),"MT")</f>
        <v>MT</v>
      </c>
      <c r="G91" s="34"/>
    </row>
    <row r="92" spans="1:7" ht="13">
      <c r="A92" s="34" t="str">
        <f t="shared" ca="1" si="0"/>
        <v>Powell, J</v>
      </c>
      <c r="B92" s="33" t="str">
        <f ca="1">IFERROR(__xludf.DUMMYFUNCTION("""COMPUTED_VALUE"""),"Powell")</f>
        <v>Powell</v>
      </c>
      <c r="C92" s="33" t="str">
        <f ca="1">IFERROR(__xludf.DUMMYFUNCTION("""COMPUTED_VALUE"""),"Jade")</f>
        <v>Jade</v>
      </c>
      <c r="D92" s="33" t="str">
        <f ca="1">IFERROR(__xludf.DUMMYFUNCTION("""COMPUTED_VALUE"""),"Burst WG")</f>
        <v>Burst WG</v>
      </c>
      <c r="E92" s="33" t="str">
        <f ca="1">IFERROR(__xludf.DUMMYFUNCTION("""COMPUTED_VALUE"""),"Chair")</f>
        <v>Chair</v>
      </c>
      <c r="F92" s="33"/>
      <c r="G92" s="34"/>
    </row>
    <row r="93" spans="1:7" ht="13">
      <c r="A93" s="34" t="str">
        <f t="shared" ca="1" si="0"/>
        <v>Powell, J</v>
      </c>
      <c r="B93" s="33" t="str">
        <f ca="1">IFERROR(__xludf.DUMMYFUNCTION("""COMPUTED_VALUE"""),"Powell")</f>
        <v>Powell</v>
      </c>
      <c r="C93" s="33" t="str">
        <f ca="1">IFERROR(__xludf.DUMMYFUNCTION("""COMPUTED_VALUE"""),"Jade")</f>
        <v>Jade</v>
      </c>
      <c r="D93" s="33" t="str">
        <f ca="1">IFERROR(__xludf.DUMMYFUNCTION("""COMPUTED_VALUE"""),"Supernovae Subgroup Burst")</f>
        <v>Supernovae Subgroup Burst</v>
      </c>
      <c r="E93" s="33" t="str">
        <f ca="1">IFERROR(__xludf.DUMMYFUNCTION("""COMPUTED_VALUE"""),"Chair")</f>
        <v>Chair</v>
      </c>
      <c r="F93" s="33"/>
      <c r="G93" s="34"/>
    </row>
    <row r="94" spans="1:7" ht="13">
      <c r="A94" s="34" t="str">
        <f t="shared" ca="1" si="0"/>
        <v>Pratten, G</v>
      </c>
      <c r="B94" s="33" t="str">
        <f ca="1">IFERROR(__xludf.DUMMYFUNCTION("""COMPUTED_VALUE"""),"Pratten")</f>
        <v>Pratten</v>
      </c>
      <c r="C94" s="33" t="str">
        <f ca="1">IFERROR(__xludf.DUMMYFUNCTION("""COMPUTED_VALUE"""),"Geraint")</f>
        <v>Geraint</v>
      </c>
      <c r="D94" s="33" t="str">
        <f ca="1">IFERROR(__xludf.DUMMYFUNCTION("""COMPUTED_VALUE"""),"Waveform Models Subgroup")</f>
        <v>Waveform Models Subgroup</v>
      </c>
      <c r="E94" s="33" t="str">
        <f ca="1">IFERROR(__xludf.DUMMYFUNCTION("""COMPUTED_VALUE"""),"Chair")</f>
        <v>Chair</v>
      </c>
      <c r="F94" s="33"/>
      <c r="G94" s="34"/>
    </row>
    <row r="95" spans="1:7" ht="13">
      <c r="A95" s="34" t="str">
        <f t="shared" ca="1" si="0"/>
        <v>Prodi, G</v>
      </c>
      <c r="B95" s="33" t="str">
        <f ca="1">IFERROR(__xludf.DUMMYFUNCTION("""COMPUTED_VALUE"""),"Prodi")</f>
        <v>Prodi</v>
      </c>
      <c r="C95" s="33" t="str">
        <f ca="1">IFERROR(__xludf.DUMMYFUNCTION("""COMPUTED_VALUE"""),"Giovanni")</f>
        <v>Giovanni</v>
      </c>
      <c r="D95" s="33" t="str">
        <f ca="1">IFERROR(__xludf.DUMMYFUNCTION("""COMPUTED_VALUE"""),"All-sky Unmodeled (short) Subgroup Burst")</f>
        <v>All-sky Unmodeled (short) Subgroup Burst</v>
      </c>
      <c r="E95" s="33" t="str">
        <f ca="1">IFERROR(__xludf.DUMMYFUNCTION("""COMPUTED_VALUE"""),"Chair")</f>
        <v>Chair</v>
      </c>
      <c r="F95" s="33"/>
      <c r="G95" s="34"/>
    </row>
    <row r="96" spans="1:7" ht="13">
      <c r="A96" s="34" t="str">
        <f t="shared" ca="1" si="0"/>
        <v>Quetschke, V</v>
      </c>
      <c r="B96" s="33" t="str">
        <f ca="1">IFERROR(__xludf.DUMMYFUNCTION("""COMPUTED_VALUE"""),"Quetschke")</f>
        <v>Quetschke</v>
      </c>
      <c r="C96" s="33" t="str">
        <f ca="1">IFERROR(__xludf.DUMMYFUNCTION("""COMPUTED_VALUE"""),"Volker")</f>
        <v>Volker</v>
      </c>
      <c r="D96" s="33" t="str">
        <f ca="1">IFERROR(__xludf.DUMMYFUNCTION("""COMPUTED_VALUE"""),"Lasers &amp; Auxilliary Optics WG")</f>
        <v>Lasers &amp; Auxilliary Optics WG</v>
      </c>
      <c r="E96" s="33" t="str">
        <f ca="1">IFERROR(__xludf.DUMMYFUNCTION("""COMPUTED_VALUE"""),"Chair")</f>
        <v>Chair</v>
      </c>
      <c r="F96" s="33"/>
      <c r="G96" s="34"/>
    </row>
    <row r="97" spans="1:7" ht="13">
      <c r="A97" s="34" t="str">
        <f t="shared" ca="1" si="0"/>
        <v>Read , J</v>
      </c>
      <c r="B97" s="33" t="str">
        <f ca="1">IFERROR(__xludf.DUMMYFUNCTION("""COMPUTED_VALUE"""),"Read ")</f>
        <v xml:space="preserve">Read </v>
      </c>
      <c r="C97" s="33" t="str">
        <f ca="1">IFERROR(__xludf.DUMMYFUNCTION("""COMPUTED_VALUE"""),"Jocelyn")</f>
        <v>Jocelyn</v>
      </c>
      <c r="D97" s="33" t="str">
        <f ca="1">IFERROR(__xludf.DUMMYFUNCTION("""COMPUTED_VALUE"""),"Extreme Mastter Subgroup CBC")</f>
        <v>Extreme Mastter Subgroup CBC</v>
      </c>
      <c r="E97" s="33" t="str">
        <f ca="1">IFERROR(__xludf.DUMMYFUNCTION("""COMPUTED_VALUE"""),"Chair")</f>
        <v>Chair</v>
      </c>
      <c r="F97" s="33"/>
      <c r="G97" s="34"/>
    </row>
    <row r="98" spans="1:7" ht="13">
      <c r="A98" s="34" t="str">
        <f t="shared" ca="1" si="0"/>
        <v>Read , J</v>
      </c>
      <c r="B98" s="33" t="str">
        <f ca="1">IFERROR(__xludf.DUMMYFUNCTION("""COMPUTED_VALUE"""),"Read ")</f>
        <v xml:space="preserve">Read </v>
      </c>
      <c r="C98" s="33" t="str">
        <f ca="1">IFERROR(__xludf.DUMMYFUNCTION("""COMPUTED_VALUE"""),"Jocelyn")</f>
        <v>Jocelyn</v>
      </c>
      <c r="D98" s="33" t="str">
        <f ca="1">IFERROR(__xludf.DUMMYFUNCTION("""COMPUTED_VALUE"""),"Program Committee")</f>
        <v>Program Committee</v>
      </c>
      <c r="E98" s="33" t="str">
        <f ca="1">IFERROR(__xludf.DUMMYFUNCTION("""COMPUTED_VALUE"""),"Member")</f>
        <v>Member</v>
      </c>
      <c r="F98" s="33"/>
      <c r="G98" s="34"/>
    </row>
    <row r="99" spans="1:7" ht="13">
      <c r="A99" s="34" t="str">
        <f t="shared" ca="1" si="0"/>
        <v>Reid, S</v>
      </c>
      <c r="B99" s="33" t="str">
        <f ca="1">IFERROR(__xludf.DUMMYFUNCTION("""COMPUTED_VALUE"""),"Reid")</f>
        <v>Reid</v>
      </c>
      <c r="C99" s="33" t="str">
        <f ca="1">IFERROR(__xludf.DUMMYFUNCTION("""COMPUTED_VALUE"""),"Stuart")</f>
        <v>Stuart</v>
      </c>
      <c r="D99" s="33" t="str">
        <f ca="1">IFERROR(__xludf.DUMMYFUNCTION("""COMPUTED_VALUE"""),"Optics WG")</f>
        <v>Optics WG</v>
      </c>
      <c r="E99" s="33" t="str">
        <f ca="1">IFERROR(__xludf.DUMMYFUNCTION("""COMPUTED_VALUE"""),"Chair")</f>
        <v>Chair</v>
      </c>
      <c r="F99" s="33"/>
      <c r="G99" s="34"/>
    </row>
    <row r="100" spans="1:7" ht="13">
      <c r="A100" s="34" t="str">
        <f t="shared" ca="1" si="0"/>
        <v>Reid, S</v>
      </c>
      <c r="B100" s="33" t="str">
        <f ca="1">IFERROR(__xludf.DUMMYFUNCTION("""COMPUTED_VALUE"""),"Reid")</f>
        <v>Reid</v>
      </c>
      <c r="C100" s="33" t="str">
        <f ca="1">IFERROR(__xludf.DUMMYFUNCTION("""COMPUTED_VALUE"""),"Stuart")</f>
        <v>Stuart</v>
      </c>
      <c r="D100" s="33" t="str">
        <f ca="1">IFERROR(__xludf.DUMMYFUNCTION("""COMPUTED_VALUE"""),"Program Committee")</f>
        <v>Program Committee</v>
      </c>
      <c r="E100" s="33" t="str">
        <f ca="1">IFERROR(__xludf.DUMMYFUNCTION("""COMPUTED_VALUE"""),"Member")</f>
        <v>Member</v>
      </c>
      <c r="F100" s="33"/>
      <c r="G100" s="34"/>
    </row>
    <row r="101" spans="1:7" ht="13">
      <c r="A101" s="34" t="str">
        <f t="shared" ca="1" si="0"/>
        <v>Renzini, A</v>
      </c>
      <c r="B101" s="33" t="str">
        <f ca="1">IFERROR(__xludf.DUMMYFUNCTION("""COMPUTED_VALUE"""),"Renzini")</f>
        <v>Renzini</v>
      </c>
      <c r="C101" s="33" t="str">
        <f ca="1">IFERROR(__xludf.DUMMYFUNCTION("""COMPUTED_VALUE"""),"Arianna")</f>
        <v>Arianna</v>
      </c>
      <c r="D101" s="33" t="str">
        <f ca="1">IFERROR(__xludf.DUMMYFUNCTION("""COMPUTED_VALUE"""),"Isotropic Analysis Subgroup Stochastic")</f>
        <v>Isotropic Analysis Subgroup Stochastic</v>
      </c>
      <c r="E101" s="33" t="str">
        <f ca="1">IFERROR(__xludf.DUMMYFUNCTION("""COMPUTED_VALUE"""),"Chair")</f>
        <v>Chair</v>
      </c>
      <c r="F101" s="33"/>
      <c r="G101" s="34"/>
    </row>
    <row r="102" spans="1:7" ht="13">
      <c r="A102" s="34" t="str">
        <f t="shared" ca="1" si="0"/>
        <v>Renzini, A</v>
      </c>
      <c r="B102" s="33" t="str">
        <f ca="1">IFERROR(__xludf.DUMMYFUNCTION("""COMPUTED_VALUE"""),"Renzini")</f>
        <v>Renzini</v>
      </c>
      <c r="C102" s="33" t="str">
        <f ca="1">IFERROR(__xludf.DUMMYFUNCTION("""COMPUTED_VALUE"""),"Arianna")</f>
        <v>Arianna</v>
      </c>
      <c r="D102" s="33" t="str">
        <f ca="1">IFERROR(__xludf.DUMMYFUNCTION("""COMPUTED_VALUE"""),"Mock Data Challenge Subgroup Stochastic")</f>
        <v>Mock Data Challenge Subgroup Stochastic</v>
      </c>
      <c r="E102" s="33" t="str">
        <f ca="1">IFERROR(__xludf.DUMMYFUNCTION("""COMPUTED_VALUE"""),"Chair")</f>
        <v>Chair</v>
      </c>
      <c r="F102" s="33"/>
      <c r="G102" s="34"/>
    </row>
    <row r="103" spans="1:7" ht="13">
      <c r="A103" s="34" t="str">
        <f t="shared" ca="1" si="0"/>
        <v>Riles, K [MT]</v>
      </c>
      <c r="B103" s="33" t="str">
        <f ca="1">IFERROR(__xludf.DUMMYFUNCTION("""COMPUTED_VALUE"""),"Riles")</f>
        <v>Riles</v>
      </c>
      <c r="C103" s="33" t="str">
        <f ca="1">IFERROR(__xludf.DUMMYFUNCTION("""COMPUTED_VALUE"""),"Keith")</f>
        <v>Keith</v>
      </c>
      <c r="D103" s="33" t="str">
        <f ca="1">IFERROR(__xludf.DUMMYFUNCTION("""COMPUTED_VALUE"""),"Editorial Board")</f>
        <v>Editorial Board</v>
      </c>
      <c r="E103" s="33" t="str">
        <f ca="1">IFERROR(__xludf.DUMMYFUNCTION("""COMPUTED_VALUE"""),"Chair")</f>
        <v>Chair</v>
      </c>
      <c r="F103" s="33" t="str">
        <f ca="1">IFERROR(__xludf.DUMMYFUNCTION("""COMPUTED_VALUE"""),"MT")</f>
        <v>MT</v>
      </c>
      <c r="G103" s="34"/>
    </row>
    <row r="104" spans="1:7" ht="13">
      <c r="A104" s="34" t="str">
        <f t="shared" ca="1" si="0"/>
        <v>Rollins, J</v>
      </c>
      <c r="B104" s="33" t="str">
        <f ca="1">IFERROR(__xludf.DUMMYFUNCTION("""COMPUTED_VALUE"""),"Rollins")</f>
        <v>Rollins</v>
      </c>
      <c r="C104" s="33" t="str">
        <f ca="1">IFERROR(__xludf.DUMMYFUNCTION("""COMPUTED_VALUE"""),"Jameson")</f>
        <v>Jameson</v>
      </c>
      <c r="D104" s="33" t="str">
        <f ca="1">IFERROR(__xludf.DUMMYFUNCTION("""COMPUTED_VALUE"""),"Calibration WG")</f>
        <v>Calibration WG</v>
      </c>
      <c r="E104" s="33" t="str">
        <f ca="1">IFERROR(__xludf.DUMMYFUNCTION("""COMPUTED_VALUE"""),"Chair")</f>
        <v>Chair</v>
      </c>
      <c r="F104" s="33"/>
      <c r="G104" s="34"/>
    </row>
    <row r="105" spans="1:7" ht="13">
      <c r="A105" s="34" t="str">
        <f t="shared" ca="1" si="0"/>
        <v>Romanao, J</v>
      </c>
      <c r="B105" s="33" t="str">
        <f ca="1">IFERROR(__xludf.DUMMYFUNCTION("""COMPUTED_VALUE"""),"Romanao")</f>
        <v>Romanao</v>
      </c>
      <c r="C105" s="33" t="str">
        <f ca="1">IFERROR(__xludf.DUMMYFUNCTION("""COMPUTED_VALUE"""),"Joseph")</f>
        <v>Joseph</v>
      </c>
      <c r="D105" s="33" t="str">
        <f ca="1">IFERROR(__xludf.DUMMYFUNCTION("""COMPUTED_VALUE"""),"Intermittent Duration Background Subgroup Stochastics")</f>
        <v>Intermittent Duration Background Subgroup Stochastics</v>
      </c>
      <c r="E105" s="33" t="str">
        <f ca="1">IFERROR(__xludf.DUMMYFUNCTION("""COMPUTED_VALUE"""),"Chair")</f>
        <v>Chair</v>
      </c>
      <c r="F105" s="33"/>
      <c r="G105" s="34"/>
    </row>
    <row r="106" spans="1:7" ht="13">
      <c r="A106" s="34" t="str">
        <f t="shared" ca="1" si="0"/>
        <v>Romano, J</v>
      </c>
      <c r="B106" s="33" t="str">
        <f ca="1">IFERROR(__xludf.DUMMYFUNCTION("""COMPUTED_VALUE"""),"Romano")</f>
        <v>Romano</v>
      </c>
      <c r="C106" s="33" t="str">
        <f ca="1">IFERROR(__xludf.DUMMYFUNCTION("""COMPUTED_VALUE"""),"Joe")</f>
        <v>Joe</v>
      </c>
      <c r="D106" s="33" t="str">
        <f ca="1">IFERROR(__xludf.DUMMYFUNCTION("""COMPUTED_VALUE"""),"Program Committee")</f>
        <v>Program Committee</v>
      </c>
      <c r="E106" s="33" t="str">
        <f ca="1">IFERROR(__xludf.DUMMYFUNCTION("""COMPUTED_VALUE"""),"Member")</f>
        <v>Member</v>
      </c>
      <c r="F106" s="33"/>
      <c r="G106" s="34"/>
    </row>
    <row r="107" spans="1:7" ht="13">
      <c r="A107" s="34" t="str">
        <f t="shared" ca="1" si="0"/>
        <v>Romero, A</v>
      </c>
      <c r="B107" s="33" t="str">
        <f ca="1">IFERROR(__xludf.DUMMYFUNCTION("""COMPUTED_VALUE"""),"Romero")</f>
        <v>Romero</v>
      </c>
      <c r="C107" s="33" t="str">
        <f ca="1">IFERROR(__xludf.DUMMYFUNCTION("""COMPUTED_VALUE"""),"Alba")</f>
        <v>Alba</v>
      </c>
      <c r="D107" s="33" t="str">
        <f ca="1">IFERROR(__xludf.DUMMYFUNCTION("""COMPUTED_VALUE"""),"Isotropic Analysis Subgroup Stochastic")</f>
        <v>Isotropic Analysis Subgroup Stochastic</v>
      </c>
      <c r="E107" s="33" t="str">
        <f ca="1">IFERROR(__xludf.DUMMYFUNCTION("""COMPUTED_VALUE"""),"Chair")</f>
        <v>Chair</v>
      </c>
      <c r="F107" s="33"/>
      <c r="G107" s="34"/>
    </row>
    <row r="108" spans="1:7" ht="13">
      <c r="A108" s="34" t="str">
        <f t="shared" ca="1" si="0"/>
        <v>Romero, A</v>
      </c>
      <c r="B108" s="33" t="str">
        <f ca="1">IFERROR(__xludf.DUMMYFUNCTION("""COMPUTED_VALUE"""),"Romero")</f>
        <v>Romero</v>
      </c>
      <c r="C108" s="33" t="str">
        <f ca="1">IFERROR(__xludf.DUMMYFUNCTION("""COMPUTED_VALUE"""),"Alba")</f>
        <v>Alba</v>
      </c>
      <c r="D108" s="33" t="str">
        <f ca="1">IFERROR(__xludf.DUMMYFUNCTION("""COMPUTED_VALUE"""),"Mock Data Challenge Subgroup Stochastic")</f>
        <v>Mock Data Challenge Subgroup Stochastic</v>
      </c>
      <c r="E108" s="33" t="str">
        <f ca="1">IFERROR(__xludf.DUMMYFUNCTION("""COMPUTED_VALUE"""),"Chair")</f>
        <v>Chair</v>
      </c>
      <c r="F108" s="33"/>
      <c r="G108" s="34"/>
    </row>
    <row r="109" spans="1:7" ht="13">
      <c r="A109" s="34" t="str">
        <f t="shared" ca="1" si="0"/>
        <v>Romie, J</v>
      </c>
      <c r="B109" s="33" t="str">
        <f ca="1">IFERROR(__xludf.DUMMYFUNCTION("""COMPUTED_VALUE"""),"Romie")</f>
        <v>Romie</v>
      </c>
      <c r="C109" s="33" t="str">
        <f ca="1">IFERROR(__xludf.DUMMYFUNCTION("""COMPUTED_VALUE"""),"Janeen")</f>
        <v>Janeen</v>
      </c>
      <c r="D109" s="33" t="str">
        <f ca="1">IFERROR(__xludf.DUMMYFUNCTION("""COMPUTED_VALUE"""),"Program Committee")</f>
        <v>Program Committee</v>
      </c>
      <c r="E109" s="33" t="str">
        <f ca="1">IFERROR(__xludf.DUMMYFUNCTION("""COMPUTED_VALUE"""),"Member")</f>
        <v>Member</v>
      </c>
      <c r="F109" s="33"/>
      <c r="G109" s="34"/>
    </row>
    <row r="110" spans="1:7" ht="13">
      <c r="A110" s="34" t="str">
        <f t="shared" ca="1" si="0"/>
        <v>Sachdev, S</v>
      </c>
      <c r="B110" s="33" t="str">
        <f ca="1">IFERROR(__xludf.DUMMYFUNCTION("""COMPUTED_VALUE"""),"Sachdev")</f>
        <v>Sachdev</v>
      </c>
      <c r="C110" s="33" t="str">
        <f ca="1">IFERROR(__xludf.DUMMYFUNCTION("""COMPUTED_VALUE"""),"Surabhi")</f>
        <v>Surabhi</v>
      </c>
      <c r="D110" s="33" t="str">
        <f ca="1">IFERROR(__xludf.DUMMYFUNCTION("""COMPUTED_VALUE"""),"Compact Binaries WG")</f>
        <v>Compact Binaries WG</v>
      </c>
      <c r="E110" s="33" t="str">
        <f ca="1">IFERROR(__xludf.DUMMYFUNCTION("""COMPUTED_VALUE"""),"Chair")</f>
        <v>Chair</v>
      </c>
      <c r="F110" s="33"/>
      <c r="G110" s="34"/>
    </row>
    <row r="111" spans="1:7" ht="13">
      <c r="A111" s="34" t="str">
        <f t="shared" ca="1" si="0"/>
        <v>Sakellariadou, M</v>
      </c>
      <c r="B111" s="33" t="str">
        <f ca="1">IFERROR(__xludf.DUMMYFUNCTION("""COMPUTED_VALUE"""),"Sakellariadou")</f>
        <v>Sakellariadou</v>
      </c>
      <c r="C111" s="33" t="str">
        <f ca="1">IFERROR(__xludf.DUMMYFUNCTION("""COMPUTED_VALUE"""),"Mairi")</f>
        <v>Mairi</v>
      </c>
      <c r="D111" s="33" t="str">
        <f ca="1">IFERROR(__xludf.DUMMYFUNCTION("""COMPUTED_VALUE"""),"PE &amp; Implications Subgroup Stochastics")</f>
        <v>PE &amp; Implications Subgroup Stochastics</v>
      </c>
      <c r="E111" s="33" t="str">
        <f ca="1">IFERROR(__xludf.DUMMYFUNCTION("""COMPUTED_VALUE"""),"Chair")</f>
        <v>Chair</v>
      </c>
      <c r="F111" s="33"/>
      <c r="G111" s="34"/>
    </row>
    <row r="112" spans="1:7" ht="13">
      <c r="A112" s="34" t="str">
        <f t="shared" ca="1" si="0"/>
        <v>Sanders, J</v>
      </c>
      <c r="B112" s="33" t="str">
        <f ca="1">IFERROR(__xludf.DUMMYFUNCTION("""COMPUTED_VALUE"""),"Sanders")</f>
        <v>Sanders</v>
      </c>
      <c r="C112" s="33" t="str">
        <f ca="1">IFERROR(__xludf.DUMMYFUNCTION("""COMPUTED_VALUE"""),"Jax")</f>
        <v>Jax</v>
      </c>
      <c r="D112" s="33" t="str">
        <f ca="1">IFERROR(__xludf.DUMMYFUNCTION("""COMPUTED_VALUE"""),"Program Committee")</f>
        <v>Program Committee</v>
      </c>
      <c r="E112" s="33" t="str">
        <f ca="1">IFERROR(__xludf.DUMMYFUNCTION("""COMPUTED_VALUE"""),"Member")</f>
        <v>Member</v>
      </c>
      <c r="F112" s="33"/>
      <c r="G112" s="34"/>
    </row>
    <row r="113" spans="1:7" ht="13">
      <c r="A113" s="34" t="str">
        <f t="shared" ca="1" si="0"/>
        <v>Savage, R</v>
      </c>
      <c r="B113" s="33" t="str">
        <f ca="1">IFERROR(__xludf.DUMMYFUNCTION("""COMPUTED_VALUE"""),"Savage")</f>
        <v>Savage</v>
      </c>
      <c r="C113" s="33" t="str">
        <f ca="1">IFERROR(__xludf.DUMMYFUNCTION("""COMPUTED_VALUE"""),"Rick")</f>
        <v>Rick</v>
      </c>
      <c r="D113" s="33" t="str">
        <f ca="1">IFERROR(__xludf.DUMMYFUNCTION("""COMPUTED_VALUE"""),"Support of Observatories Committee")</f>
        <v>Support of Observatories Committee</v>
      </c>
      <c r="E113" s="33" t="str">
        <f ca="1">IFERROR(__xludf.DUMMYFUNCTION("""COMPUTED_VALUE"""),"Chair")</f>
        <v>Chair</v>
      </c>
      <c r="F113" s="33"/>
      <c r="G113" s="34"/>
    </row>
    <row r="114" spans="1:7" ht="13">
      <c r="A114" s="34" t="str">
        <f t="shared" ca="1" si="0"/>
        <v>Schmidt, P</v>
      </c>
      <c r="B114" s="33" t="str">
        <f ca="1">IFERROR(__xludf.DUMMYFUNCTION("""COMPUTED_VALUE"""),"Schmidt")</f>
        <v>Schmidt</v>
      </c>
      <c r="C114" s="33" t="str">
        <f ca="1">IFERROR(__xludf.DUMMYFUNCTION("""COMPUTED_VALUE"""),"Patricia")</f>
        <v>Patricia</v>
      </c>
      <c r="D114" s="33" t="str">
        <f ca="1">IFERROR(__xludf.DUMMYFUNCTION("""COMPUTED_VALUE"""),"Parameter Estimation Subgroup CBC")</f>
        <v>Parameter Estimation Subgroup CBC</v>
      </c>
      <c r="E114" s="33" t="str">
        <f ca="1">IFERROR(__xludf.DUMMYFUNCTION("""COMPUTED_VALUE"""),"Chair")</f>
        <v>Chair</v>
      </c>
      <c r="F114" s="33"/>
      <c r="G114" s="34"/>
    </row>
    <row r="115" spans="1:7" ht="13">
      <c r="A115" s="34" t="str">
        <f t="shared" ca="1" si="0"/>
        <v>Schofield, R [LHO]</v>
      </c>
      <c r="B115" s="33" t="str">
        <f ca="1">IFERROR(__xludf.DUMMYFUNCTION("""COMPUTED_VALUE"""),"Schofield")</f>
        <v>Schofield</v>
      </c>
      <c r="C115" s="33" t="str">
        <f ca="1">IFERROR(__xludf.DUMMYFUNCTION("""COMPUTED_VALUE"""),"Robert")</f>
        <v>Robert</v>
      </c>
      <c r="D115" s="33" t="str">
        <f ca="1">IFERROR(__xludf.DUMMYFUNCTION("""COMPUTED_VALUE"""),"Instrumentation Leads Detchar")</f>
        <v>Instrumentation Leads Detchar</v>
      </c>
      <c r="E115" s="33" t="str">
        <f ca="1">IFERROR(__xludf.DUMMYFUNCTION("""COMPUTED_VALUE"""),"Lead")</f>
        <v>Lead</v>
      </c>
      <c r="F115" s="33" t="str">
        <f ca="1">IFERROR(__xludf.DUMMYFUNCTION("""COMPUTED_VALUE"""),"LHO")</f>
        <v>LHO</v>
      </c>
      <c r="G115" s="34"/>
    </row>
    <row r="116" spans="1:7" ht="13">
      <c r="A116" s="34" t="str">
        <f t="shared" ca="1" si="0"/>
        <v>Shoemaker, D</v>
      </c>
      <c r="B116" s="33" t="str">
        <f ca="1">IFERROR(__xludf.DUMMYFUNCTION("""COMPUTED_VALUE"""),"Shoemaker")</f>
        <v>Shoemaker</v>
      </c>
      <c r="C116" s="33" t="str">
        <f ca="1">IFERROR(__xludf.DUMMYFUNCTION("""COMPUTED_VALUE"""),"David")</f>
        <v>David</v>
      </c>
      <c r="D116" s="33" t="str">
        <f ca="1">IFERROR(__xludf.DUMMYFUNCTION("""COMPUTED_VALUE"""),"Run Planning Committee")</f>
        <v>Run Planning Committee</v>
      </c>
      <c r="E116" s="33" t="str">
        <f ca="1">IFERROR(__xludf.DUMMYFUNCTION("""COMPUTED_VALUE"""),"Chair")</f>
        <v>Chair</v>
      </c>
      <c r="F116" s="33"/>
      <c r="G116" s="34"/>
    </row>
    <row r="117" spans="1:7" ht="13">
      <c r="A117" s="34" t="str">
        <f t="shared" ca="1" si="0"/>
        <v>Shoemaker, D [Speakers]</v>
      </c>
      <c r="B117" s="33" t="str">
        <f ca="1">IFERROR(__xludf.DUMMYFUNCTION("""COMPUTED_VALUE"""),"Shoemaker")</f>
        <v>Shoemaker</v>
      </c>
      <c r="C117" s="33" t="str">
        <f ca="1">IFERROR(__xludf.DUMMYFUNCTION("""COMPUTED_VALUE"""),"Dierdre")</f>
        <v>Dierdre</v>
      </c>
      <c r="D117" s="33" t="str">
        <f ca="1">IFERROR(__xludf.DUMMYFUNCTION("""COMPUTED_VALUE"""),"Diversity, Equity &amp; Inclusion Committee")</f>
        <v>Diversity, Equity &amp; Inclusion Committee</v>
      </c>
      <c r="E117" s="33" t="str">
        <f ca="1">IFERROR(__xludf.DUMMYFUNCTION("""COMPUTED_VALUE"""),"Member")</f>
        <v>Member</v>
      </c>
      <c r="F117" s="33" t="str">
        <f ca="1">IFERROR(__xludf.DUMMYFUNCTION("""COMPUTED_VALUE"""),"Speakers")</f>
        <v>Speakers</v>
      </c>
      <c r="G117" s="34"/>
    </row>
    <row r="118" spans="1:7" ht="13">
      <c r="A118" s="34" t="str">
        <f t="shared" ca="1" si="0"/>
        <v>Soni, S</v>
      </c>
      <c r="B118" s="33" t="str">
        <f ca="1">IFERROR(__xludf.DUMMYFUNCTION("""COMPUTED_VALUE"""),"Soni")</f>
        <v>Soni</v>
      </c>
      <c r="C118" s="33" t="str">
        <f ca="1">IFERROR(__xludf.DUMMYFUNCTION("""COMPUTED_VALUE"""),"Sidd")</f>
        <v>Sidd</v>
      </c>
      <c r="D118" s="33" t="str">
        <f ca="1">IFERROR(__xludf.DUMMYFUNCTION("""COMPUTED_VALUE"""),"Event Validation Leads Detchar")</f>
        <v>Event Validation Leads Detchar</v>
      </c>
      <c r="E118" s="33" t="str">
        <f ca="1">IFERROR(__xludf.DUMMYFUNCTION("""COMPUTED_VALUE"""),"Lead")</f>
        <v>Lead</v>
      </c>
      <c r="F118" s="33"/>
      <c r="G118" s="34"/>
    </row>
    <row r="119" spans="1:7" ht="13">
      <c r="A119" s="34" t="str">
        <f t="shared" ca="1" si="0"/>
        <v>Soni, S</v>
      </c>
      <c r="B119" s="33" t="str">
        <f ca="1">IFERROR(__xludf.DUMMYFUNCTION("""COMPUTED_VALUE"""),"Soni")</f>
        <v>Soni</v>
      </c>
      <c r="C119" s="33" t="str">
        <f ca="1">IFERROR(__xludf.DUMMYFUNCTION("""COMPUTED_VALUE"""),"Sidd")</f>
        <v>Sidd</v>
      </c>
      <c r="D119" s="33" t="str">
        <f ca="1">IFERROR(__xludf.DUMMYFUNCTION("""COMPUTED_VALUE"""),"Low-Latency DQ Detchar")</f>
        <v>Low-Latency DQ Detchar</v>
      </c>
      <c r="E119" s="33" t="str">
        <f ca="1">IFERROR(__xludf.DUMMYFUNCTION("""COMPUTED_VALUE"""),"Lead")</f>
        <v>Lead</v>
      </c>
      <c r="F119" s="33"/>
      <c r="G119" s="34"/>
    </row>
    <row r="120" spans="1:7" ht="13">
      <c r="A120" s="34" t="str">
        <f t="shared" ca="1" si="0"/>
        <v>Soni, S</v>
      </c>
      <c r="B120" s="33" t="str">
        <f ca="1">IFERROR(__xludf.DUMMYFUNCTION("""COMPUTED_VALUE"""),"Soni")</f>
        <v>Soni</v>
      </c>
      <c r="C120" s="33" t="str">
        <f ca="1">IFERROR(__xludf.DUMMYFUNCTION("""COMPUTED_VALUE"""),"Sidd")</f>
        <v>Sidd</v>
      </c>
      <c r="D120" s="33" t="str">
        <f ca="1">IFERROR(__xludf.DUMMYFUNCTION("""COMPUTED_VALUE"""),"Low-latency DQ Lead Detchar")</f>
        <v>Low-latency DQ Lead Detchar</v>
      </c>
      <c r="E120" s="33" t="str">
        <f ca="1">IFERROR(__xludf.DUMMYFUNCTION("""COMPUTED_VALUE"""),"Lead")</f>
        <v>Lead</v>
      </c>
      <c r="F120" s="33"/>
      <c r="G120" s="34"/>
    </row>
    <row r="121" spans="1:7" ht="13">
      <c r="A121" s="34" t="str">
        <f t="shared" ca="1" si="0"/>
        <v>Sordini, V [CBC]</v>
      </c>
      <c r="B121" s="33" t="str">
        <f ca="1">IFERROR(__xludf.DUMMYFUNCTION("""COMPUTED_VALUE"""),"Sordini")</f>
        <v>Sordini</v>
      </c>
      <c r="C121" s="33" t="str">
        <f ca="1">IFERROR(__xludf.DUMMYFUNCTION("""COMPUTED_VALUE"""),"Viola")</f>
        <v>Viola</v>
      </c>
      <c r="D121" s="33" t="str">
        <f ca="1">IFERROR(__xludf.DUMMYFUNCTION("""COMPUTED_VALUE"""),"All-sky Searches Subgroup CBC Burst")</f>
        <v>All-sky Searches Subgroup CBC Burst</v>
      </c>
      <c r="E121" s="33" t="str">
        <f ca="1">IFERROR(__xludf.DUMMYFUNCTION("""COMPUTED_VALUE"""),"Chair")</f>
        <v>Chair</v>
      </c>
      <c r="F121" s="33" t="str">
        <f ca="1">IFERROR(__xludf.DUMMYFUNCTION("""COMPUTED_VALUE"""),"CBC")</f>
        <v>CBC</v>
      </c>
      <c r="G121" s="34"/>
    </row>
    <row r="122" spans="1:7" ht="13">
      <c r="A122" s="34" t="str">
        <f t="shared" ca="1" si="0"/>
        <v>Steinlechner, J [LAAC]</v>
      </c>
      <c r="B122" s="33" t="str">
        <f ca="1">IFERROR(__xludf.DUMMYFUNCTION("""COMPUTED_VALUE"""),"Steinlechner")</f>
        <v>Steinlechner</v>
      </c>
      <c r="C122" s="33" t="str">
        <f ca="1">IFERROR(__xludf.DUMMYFUNCTION("""COMPUTED_VALUE"""),"Jessica")</f>
        <v>Jessica</v>
      </c>
      <c r="D122" s="33" t="str">
        <f ca="1">IFERROR(__xludf.DUMMYFUNCTION("""COMPUTED_VALUE"""),"Diversity, Equity &amp; Inclusion Committee")</f>
        <v>Diversity, Equity &amp; Inclusion Committee</v>
      </c>
      <c r="E122" s="33" t="str">
        <f ca="1">IFERROR(__xludf.DUMMYFUNCTION("""COMPUTED_VALUE"""),"Member")</f>
        <v>Member</v>
      </c>
      <c r="F122" s="33" t="str">
        <f ca="1">IFERROR(__xludf.DUMMYFUNCTION("""COMPUTED_VALUE"""),"LAAC")</f>
        <v>LAAC</v>
      </c>
      <c r="G122" s="34"/>
    </row>
    <row r="123" spans="1:7" ht="13">
      <c r="A123" s="34" t="str">
        <f t="shared" ca="1" si="0"/>
        <v>Steinlechner, J</v>
      </c>
      <c r="B123" s="33" t="str">
        <f ca="1">IFERROR(__xludf.DUMMYFUNCTION("""COMPUTED_VALUE"""),"Steinlechner")</f>
        <v>Steinlechner</v>
      </c>
      <c r="C123" s="33" t="str">
        <f ca="1">IFERROR(__xludf.DUMMYFUNCTION("""COMPUTED_VALUE"""),"Jessica")</f>
        <v>Jessica</v>
      </c>
      <c r="D123" s="33" t="str">
        <f ca="1">IFERROR(__xludf.DUMMYFUNCTION("""COMPUTED_VALUE"""),"Optics WG")</f>
        <v>Optics WG</v>
      </c>
      <c r="E123" s="33" t="str">
        <f ca="1">IFERROR(__xludf.DUMMYFUNCTION("""COMPUTED_VALUE"""),"Chair")</f>
        <v>Chair</v>
      </c>
      <c r="F123" s="33"/>
      <c r="G123" s="34"/>
    </row>
    <row r="124" spans="1:7" ht="13">
      <c r="A124" s="34" t="str">
        <f t="shared" ca="1" si="0"/>
        <v>Strunk, A</v>
      </c>
      <c r="B124" s="33" t="str">
        <f ca="1">IFERROR(__xludf.DUMMYFUNCTION("""COMPUTED_VALUE"""),"Strunk")</f>
        <v>Strunk</v>
      </c>
      <c r="C124" s="33" t="str">
        <f ca="1">IFERROR(__xludf.DUMMYFUNCTION("""COMPUTED_VALUE"""),"Amber")</f>
        <v>Amber</v>
      </c>
      <c r="D124" s="33" t="str">
        <f ca="1">IFERROR(__xludf.DUMMYFUNCTION("""COMPUTED_VALUE"""),"Formal Education Committee")</f>
        <v>Formal Education Committee</v>
      </c>
      <c r="E124" s="33" t="str">
        <f ca="1">IFERROR(__xludf.DUMMYFUNCTION("""COMPUTED_VALUE"""),"Chair")</f>
        <v>Chair</v>
      </c>
      <c r="F124" s="33"/>
      <c r="G124" s="34"/>
    </row>
    <row r="125" spans="1:7" ht="13">
      <c r="A125" s="34" t="str">
        <f t="shared" ca="1" si="0"/>
        <v>Stuver, A</v>
      </c>
      <c r="B125" s="33" t="str">
        <f ca="1">IFERROR(__xludf.DUMMYFUNCTION("""COMPUTED_VALUE"""),"Stuver")</f>
        <v>Stuver</v>
      </c>
      <c r="C125" s="33" t="str">
        <f ca="1">IFERROR(__xludf.DUMMYFUNCTION("""COMPUTED_VALUE"""),"Amber")</f>
        <v>Amber</v>
      </c>
      <c r="D125" s="33" t="str">
        <f ca="1">IFERROR(__xludf.DUMMYFUNCTION("""COMPUTED_VALUE"""),"Informal Education &amp; Outreach Committee")</f>
        <v>Informal Education &amp; Outreach Committee</v>
      </c>
      <c r="E125" s="33" t="str">
        <f ca="1">IFERROR(__xludf.DUMMYFUNCTION("""COMPUTED_VALUE"""),"Chair")</f>
        <v>Chair</v>
      </c>
      <c r="F125" s="33"/>
      <c r="G125" s="34"/>
    </row>
    <row r="126" spans="1:7" ht="13">
      <c r="A126" s="34" t="str">
        <f t="shared" ca="1" si="0"/>
        <v>Stuver, A [Burst]</v>
      </c>
      <c r="B126" s="33" t="str">
        <f ca="1">IFERROR(__xludf.DUMMYFUNCTION("""COMPUTED_VALUE"""),"Stuver")</f>
        <v>Stuver</v>
      </c>
      <c r="C126" s="33" t="str">
        <f ca="1">IFERROR(__xludf.DUMMYFUNCTION("""COMPUTED_VALUE"""),"Amber")</f>
        <v>Amber</v>
      </c>
      <c r="D126" s="33" t="str">
        <f ca="1">IFERROR(__xludf.DUMMYFUNCTION("""COMPUTED_VALUE"""),"Liasons Detchar")</f>
        <v>Liasons Detchar</v>
      </c>
      <c r="E126" s="33" t="str">
        <f ca="1">IFERROR(__xludf.DUMMYFUNCTION("""COMPUTED_VALUE"""),"Liaison")</f>
        <v>Liaison</v>
      </c>
      <c r="F126" s="33" t="str">
        <f ca="1">IFERROR(__xludf.DUMMYFUNCTION("""COMPUTED_VALUE"""),"Burst")</f>
        <v>Burst</v>
      </c>
      <c r="G126" s="34"/>
    </row>
    <row r="127" spans="1:7" ht="13">
      <c r="A127" s="34" t="str">
        <f t="shared" ca="1" si="0"/>
        <v>Sun, L</v>
      </c>
      <c r="B127" s="33" t="str">
        <f ca="1">IFERROR(__xludf.DUMMYFUNCTION("""COMPUTED_VALUE"""),"Sun")</f>
        <v>Sun</v>
      </c>
      <c r="C127" s="33" t="str">
        <f ca="1">IFERROR(__xludf.DUMMYFUNCTION("""COMPUTED_VALUE"""),"Ling")</f>
        <v>Ling</v>
      </c>
      <c r="D127" s="33" t="str">
        <f ca="1">IFERROR(__xludf.DUMMYFUNCTION("""COMPUTED_VALUE"""),"Calibration WG")</f>
        <v>Calibration WG</v>
      </c>
      <c r="E127" s="33" t="str">
        <f ca="1">IFERROR(__xludf.DUMMYFUNCTION("""COMPUTED_VALUE"""),"Chair")</f>
        <v>Chair</v>
      </c>
      <c r="F127" s="33"/>
      <c r="G127" s="34"/>
    </row>
    <row r="128" spans="1:7" ht="13">
      <c r="A128" s="34" t="str">
        <f t="shared" ca="1" si="0"/>
        <v>Suresh, J</v>
      </c>
      <c r="B128" s="33" t="str">
        <f ca="1">IFERROR(__xludf.DUMMYFUNCTION("""COMPUTED_VALUE"""),"Suresh")</f>
        <v>Suresh</v>
      </c>
      <c r="C128" s="33" t="str">
        <f ca="1">IFERROR(__xludf.DUMMYFUNCTION("""COMPUTED_VALUE"""),"Jishnu")</f>
        <v>Jishnu</v>
      </c>
      <c r="D128" s="33" t="str">
        <f ca="1">IFERROR(__xludf.DUMMYFUNCTION("""COMPUTED_VALUE"""),"Directional Analysis Subgroup Stochastic")</f>
        <v>Directional Analysis Subgroup Stochastic</v>
      </c>
      <c r="E128" s="33" t="str">
        <f ca="1">IFERROR(__xludf.DUMMYFUNCTION("""COMPUTED_VALUE"""),"Chair")</f>
        <v>Chair</v>
      </c>
      <c r="F128" s="33"/>
      <c r="G128" s="34"/>
    </row>
    <row r="129" spans="1:7" ht="13">
      <c r="A129" s="34" t="str">
        <f t="shared" ca="1" si="0"/>
        <v>Sutton, P [X-pipeline]</v>
      </c>
      <c r="B129" s="33" t="str">
        <f ca="1">IFERROR(__xludf.DUMMYFUNCTION("""COMPUTED_VALUE"""),"Sutton")</f>
        <v>Sutton</v>
      </c>
      <c r="C129" s="33" t="str">
        <f ca="1">IFERROR(__xludf.DUMMYFUNCTION("""COMPUTED_VALUE"""),"Patrick")</f>
        <v>Patrick</v>
      </c>
      <c r="D129" s="33" t="str">
        <f ca="1">IFERROR(__xludf.DUMMYFUNCTION("""COMPUTED_VALUE"""),"Burst Pipeline Support, R&amp;D")</f>
        <v>Burst Pipeline Support, R&amp;D</v>
      </c>
      <c r="E129" s="33" t="str">
        <f ca="1">IFERROR(__xludf.DUMMYFUNCTION("""COMPUTED_VALUE"""),"Chair")</f>
        <v>Chair</v>
      </c>
      <c r="F129" s="33" t="str">
        <f ca="1">IFERROR(__xludf.DUMMYFUNCTION("""COMPUTED_VALUE"""),"X-pipeline")</f>
        <v>X-pipeline</v>
      </c>
      <c r="G129" s="34"/>
    </row>
    <row r="130" spans="1:7" ht="13">
      <c r="A130" s="34" t="str">
        <f t="shared" ca="1" si="0"/>
        <v>Sutton, P</v>
      </c>
      <c r="B130" s="33" t="str">
        <f ca="1">IFERROR(__xludf.DUMMYFUNCTION("""COMPUTED_VALUE"""),"Sutton")</f>
        <v>Sutton</v>
      </c>
      <c r="C130" s="33" t="str">
        <f ca="1">IFERROR(__xludf.DUMMYFUNCTION("""COMPUTED_VALUE"""),"Patrick")</f>
        <v>Patrick</v>
      </c>
      <c r="D130" s="33" t="str">
        <f ca="1">IFERROR(__xludf.DUMMYFUNCTION("""COMPUTED_VALUE"""),"GRB/FRB/Magnetar Subgroup Burst")</f>
        <v>GRB/FRB/Magnetar Subgroup Burst</v>
      </c>
      <c r="E130" s="33" t="str">
        <f ca="1">IFERROR(__xludf.DUMMYFUNCTION("""COMPUTED_VALUE"""),"Chair")</f>
        <v>Chair</v>
      </c>
      <c r="F130" s="33"/>
      <c r="G130" s="34"/>
    </row>
    <row r="131" spans="1:7" ht="13">
      <c r="A131" s="34" t="str">
        <f t="shared" ca="1" si="0"/>
        <v>Sutton, P [MT]</v>
      </c>
      <c r="B131" s="33" t="str">
        <f ca="1">IFERROR(__xludf.DUMMYFUNCTION("""COMPUTED_VALUE"""),"Sutton")</f>
        <v>Sutton</v>
      </c>
      <c r="C131" s="33" t="str">
        <f ca="1">IFERROR(__xludf.DUMMYFUNCTION("""COMPUTED_VALUE"""),"Patrick")</f>
        <v>Patrick</v>
      </c>
      <c r="D131" s="33" t="str">
        <f ca="1">IFERROR(__xludf.DUMMYFUNCTION("""COMPUTED_VALUE"""),"Observational Science Division")</f>
        <v>Observational Science Division</v>
      </c>
      <c r="E131" s="33" t="str">
        <f ca="1">IFERROR(__xludf.DUMMYFUNCTION("""COMPUTED_VALUE"""),"Chair")</f>
        <v>Chair</v>
      </c>
      <c r="F131" s="33" t="str">
        <f ca="1">IFERROR(__xludf.DUMMYFUNCTION("""COMPUTED_VALUE"""),"MT")</f>
        <v>MT</v>
      </c>
      <c r="G131" s="34"/>
    </row>
    <row r="132" spans="1:7" ht="13">
      <c r="A132" s="34" t="str">
        <f t="shared" ca="1" si="0"/>
        <v>Sutton, P</v>
      </c>
      <c r="B132" s="33" t="str">
        <f ca="1">IFERROR(__xludf.DUMMYFUNCTION("""COMPUTED_VALUE"""),"Sutton")</f>
        <v>Sutton</v>
      </c>
      <c r="C132" s="33" t="str">
        <f ca="1">IFERROR(__xludf.DUMMYFUNCTION("""COMPUTED_VALUE"""),"Patrick")</f>
        <v>Patrick</v>
      </c>
      <c r="D132" s="33" t="str">
        <f ca="1">IFERROR(__xludf.DUMMYFUNCTION("""COMPUTED_VALUE"""),"Program Committee")</f>
        <v>Program Committee</v>
      </c>
      <c r="E132" s="33" t="str">
        <f ca="1">IFERROR(__xludf.DUMMYFUNCTION("""COMPUTED_VALUE"""),"Member")</f>
        <v>Member</v>
      </c>
      <c r="F132" s="33"/>
      <c r="G132" s="34"/>
    </row>
    <row r="133" spans="1:7" ht="13">
      <c r="A133" s="34" t="str">
        <f t="shared" ca="1" si="0"/>
        <v>Szczepanczyk, M</v>
      </c>
      <c r="B133" s="33" t="str">
        <f ca="1">IFERROR(__xludf.DUMMYFUNCTION("""COMPUTED_VALUE"""),"Szczepanczyk")</f>
        <v>Szczepanczyk</v>
      </c>
      <c r="C133" s="33" t="str">
        <f ca="1">IFERROR(__xludf.DUMMYFUNCTION("""COMPUTED_VALUE"""),"Marek")</f>
        <v>Marek</v>
      </c>
      <c r="D133" s="33" t="str">
        <f ca="1">IFERROR(__xludf.DUMMYFUNCTION("""COMPUTED_VALUE"""),"All-sky Unmodeled (short) Subgroup Burst")</f>
        <v>All-sky Unmodeled (short) Subgroup Burst</v>
      </c>
      <c r="E133" s="33" t="str">
        <f ca="1">IFERROR(__xludf.DUMMYFUNCTION("""COMPUTED_VALUE"""),"Chair")</f>
        <v>Chair</v>
      </c>
      <c r="F133" s="33"/>
      <c r="G133" s="34"/>
    </row>
    <row r="134" spans="1:7" ht="13">
      <c r="A134" s="34" t="str">
        <f t="shared" ca="1" si="0"/>
        <v>Talbot, C</v>
      </c>
      <c r="B134" s="33" t="str">
        <f ca="1">IFERROR(__xludf.DUMMYFUNCTION("""COMPUTED_VALUE"""),"Talbot")</f>
        <v>Talbot</v>
      </c>
      <c r="C134" s="33" t="str">
        <f ca="1">IFERROR(__xludf.DUMMYFUNCTION("""COMPUTED_VALUE"""),"Colm")</f>
        <v>Colm</v>
      </c>
      <c r="D134" s="33" t="str">
        <f ca="1">IFERROR(__xludf.DUMMYFUNCTION("""COMPUTED_VALUE"""),"Parameter Estimation Subgroup CBC")</f>
        <v>Parameter Estimation Subgroup CBC</v>
      </c>
      <c r="E134" s="33" t="str">
        <f ca="1">IFERROR(__xludf.DUMMYFUNCTION("""COMPUTED_VALUE"""),"Chair")</f>
        <v>Chair</v>
      </c>
      <c r="F134" s="33"/>
      <c r="G134" s="34"/>
    </row>
    <row r="135" spans="1:7" ht="13">
      <c r="A135" s="34" t="str">
        <f t="shared" ca="1" si="0"/>
        <v>Tamanini, N</v>
      </c>
      <c r="B135" s="33" t="str">
        <f ca="1">IFERROR(__xludf.DUMMYFUNCTION("""COMPUTED_VALUE"""),"Tamanini")</f>
        <v>Tamanini</v>
      </c>
      <c r="C135" s="33" t="str">
        <f ca="1">IFERROR(__xludf.DUMMYFUNCTION("""COMPUTED_VALUE"""),"Nicola")</f>
        <v>Nicola</v>
      </c>
      <c r="D135" s="33" t="str">
        <f ca="1">IFERROR(__xludf.DUMMYFUNCTION("""COMPUTED_VALUE"""),"Cosmology Subgroup CBC")</f>
        <v>Cosmology Subgroup CBC</v>
      </c>
      <c r="E135" s="33" t="str">
        <f ca="1">IFERROR(__xludf.DUMMYFUNCTION("""COMPUTED_VALUE"""),"Chair")</f>
        <v>Chair</v>
      </c>
      <c r="F135" s="33"/>
      <c r="G135" s="34"/>
    </row>
    <row r="136" spans="1:7" ht="13">
      <c r="A136" s="34" t="str">
        <f t="shared" ca="1" si="0"/>
        <v>Tanner, D</v>
      </c>
      <c r="B136" s="33" t="str">
        <f ca="1">IFERROR(__xludf.DUMMYFUNCTION("""COMPUTED_VALUE"""),"Tanner")</f>
        <v>Tanner</v>
      </c>
      <c r="C136" s="33" t="str">
        <f ca="1">IFERROR(__xludf.DUMMYFUNCTION("""COMPUTED_VALUE"""),"David")</f>
        <v>David</v>
      </c>
      <c r="D136" s="33" t="str">
        <f ca="1">IFERROR(__xludf.DUMMYFUNCTION("""COMPUTED_VALUE"""),"Ombudsperson")</f>
        <v>Ombudsperson</v>
      </c>
      <c r="E136" s="33" t="str">
        <f ca="1">IFERROR(__xludf.DUMMYFUNCTION("""COMPUTED_VALUE"""),"OmbudOne")</f>
        <v>OmbudOne</v>
      </c>
      <c r="F136" s="33"/>
      <c r="G136" s="34"/>
    </row>
    <row r="137" spans="1:7" ht="13">
      <c r="A137" s="34" t="str">
        <f t="shared" ca="1" si="0"/>
        <v>Trevor, M [CBC]</v>
      </c>
      <c r="B137" s="33" t="str">
        <f ca="1">IFERROR(__xludf.DUMMYFUNCTION("""COMPUTED_VALUE"""),"Trevor")</f>
        <v>Trevor</v>
      </c>
      <c r="C137" s="33" t="str">
        <f ca="1">IFERROR(__xludf.DUMMYFUNCTION("""COMPUTED_VALUE"""),"Max")</f>
        <v>Max</v>
      </c>
      <c r="D137" s="33" t="str">
        <f ca="1">IFERROR(__xludf.DUMMYFUNCTION("""COMPUTED_VALUE"""),"Liasons Detchar")</f>
        <v>Liasons Detchar</v>
      </c>
      <c r="E137" s="33" t="str">
        <f ca="1">IFERROR(__xludf.DUMMYFUNCTION("""COMPUTED_VALUE"""),"Liaison")</f>
        <v>Liaison</v>
      </c>
      <c r="F137" s="33" t="str">
        <f ca="1">IFERROR(__xludf.DUMMYFUNCTION("""COMPUTED_VALUE"""),"CBC")</f>
        <v>CBC</v>
      </c>
      <c r="G137" s="34"/>
    </row>
    <row r="138" spans="1:7" ht="13">
      <c r="A138" s="34" t="str">
        <f t="shared" ca="1" si="0"/>
        <v>Tsukada, L</v>
      </c>
      <c r="B138" s="33" t="str">
        <f ca="1">IFERROR(__xludf.DUMMYFUNCTION("""COMPUTED_VALUE"""),"Tsukada")</f>
        <v>Tsukada</v>
      </c>
      <c r="C138" s="33" t="str">
        <f ca="1">IFERROR(__xludf.DUMMYFUNCTION("""COMPUTED_VALUE"""),"Leo")</f>
        <v>Leo</v>
      </c>
      <c r="D138" s="33" t="str">
        <f ca="1">IFERROR(__xludf.DUMMYFUNCTION("""COMPUTED_VALUE"""),"Directional Analysis Subgroup Stochastic")</f>
        <v>Directional Analysis Subgroup Stochastic</v>
      </c>
      <c r="E138" s="33" t="str">
        <f ca="1">IFERROR(__xludf.DUMMYFUNCTION("""COMPUTED_VALUE"""),"Chair")</f>
        <v>Chair</v>
      </c>
      <c r="F138" s="33"/>
      <c r="G138" s="34"/>
    </row>
    <row r="139" spans="1:7" ht="13">
      <c r="A139" s="34" t="str">
        <f t="shared" ca="1" si="0"/>
        <v>Tsuna, D [CosmicStrings]</v>
      </c>
      <c r="B139" s="33" t="str">
        <f ca="1">IFERROR(__xludf.DUMMYFUNCTION("""COMPUTED_VALUE"""),"Tsuna")</f>
        <v>Tsuna</v>
      </c>
      <c r="C139" s="33" t="str">
        <f ca="1">IFERROR(__xludf.DUMMYFUNCTION("""COMPUTED_VALUE"""),"Daichi")</f>
        <v>Daichi</v>
      </c>
      <c r="D139" s="33" t="str">
        <f ca="1">IFERROR(__xludf.DUMMYFUNCTION("""COMPUTED_VALUE"""),"Burst Pipeline Support, R&amp;D")</f>
        <v>Burst Pipeline Support, R&amp;D</v>
      </c>
      <c r="E139" s="33" t="str">
        <f ca="1">IFERROR(__xludf.DUMMYFUNCTION("""COMPUTED_VALUE"""),"Chair")</f>
        <v>Chair</v>
      </c>
      <c r="F139" s="33" t="str">
        <f ca="1">IFERROR(__xludf.DUMMYFUNCTION("""COMPUTED_VALUE"""),"CosmicStrings")</f>
        <v>CosmicStrings</v>
      </c>
      <c r="G139" s="34"/>
    </row>
    <row r="140" spans="1:7" ht="13">
      <c r="A140" s="34" t="str">
        <f t="shared" ca="1" si="0"/>
        <v>Vajente, G</v>
      </c>
      <c r="B140" s="33" t="str">
        <f ca="1">IFERROR(__xludf.DUMMYFUNCTION("""COMPUTED_VALUE"""),"Vajente")</f>
        <v>Vajente</v>
      </c>
      <c r="C140" s="33" t="str">
        <f ca="1">IFERROR(__xludf.DUMMYFUNCTION("""COMPUTED_VALUE"""),"Gabriele")</f>
        <v>Gabriele</v>
      </c>
      <c r="D140" s="33" t="str">
        <f ca="1">IFERROR(__xludf.DUMMYFUNCTION("""COMPUTED_VALUE"""),"Control Systems WG")</f>
        <v>Control Systems WG</v>
      </c>
      <c r="E140" s="33" t="str">
        <f ca="1">IFERROR(__xludf.DUMMYFUNCTION("""COMPUTED_VALUE"""),"Chair")</f>
        <v>Chair</v>
      </c>
      <c r="F140" s="33"/>
      <c r="G140" s="34"/>
    </row>
    <row r="141" spans="1:7" ht="13">
      <c r="A141" s="34" t="str">
        <f t="shared" ca="1" si="0"/>
        <v>Valdes, G [LLO]</v>
      </c>
      <c r="B141" s="33" t="str">
        <f ca="1">IFERROR(__xludf.DUMMYFUNCTION("""COMPUTED_VALUE"""),"Valdes")</f>
        <v>Valdes</v>
      </c>
      <c r="C141" s="33" t="str">
        <f ca="1">IFERROR(__xludf.DUMMYFUNCTION("""COMPUTED_VALUE"""),"Guillermo")</f>
        <v>Guillermo</v>
      </c>
      <c r="D141" s="33" t="str">
        <f ca="1">IFERROR(__xludf.DUMMYFUNCTION("""COMPUTED_VALUE"""),"Instrumentation Leads Detchar")</f>
        <v>Instrumentation Leads Detchar</v>
      </c>
      <c r="E141" s="33" t="str">
        <f ca="1">IFERROR(__xludf.DUMMYFUNCTION("""COMPUTED_VALUE"""),"Lead")</f>
        <v>Lead</v>
      </c>
      <c r="F141" s="33" t="str">
        <f ca="1">IFERROR(__xludf.DUMMYFUNCTION("""COMPUTED_VALUE"""),"LLO")</f>
        <v>LLO</v>
      </c>
      <c r="G141" s="34"/>
    </row>
    <row r="142" spans="1:7" ht="13">
      <c r="A142" s="34" t="str">
        <f t="shared" ca="1" si="0"/>
        <v>Varma, V</v>
      </c>
      <c r="B142" s="33" t="str">
        <f ca="1">IFERROR(__xludf.DUMMYFUNCTION("""COMPUTED_VALUE"""),"Varma")</f>
        <v>Varma</v>
      </c>
      <c r="C142" s="33" t="str">
        <f ca="1">IFERROR(__xludf.DUMMYFUNCTION("""COMPUTED_VALUE"""),"Vijay")</f>
        <v>Vijay</v>
      </c>
      <c r="D142" s="33" t="str">
        <f ca="1">IFERROR(__xludf.DUMMYFUNCTION("""COMPUTED_VALUE"""),"Waveform Models Subgroup")</f>
        <v>Waveform Models Subgroup</v>
      </c>
      <c r="E142" s="33" t="str">
        <f ca="1">IFERROR(__xludf.DUMMYFUNCTION("""COMPUTED_VALUE"""),"Chair")</f>
        <v>Chair</v>
      </c>
      <c r="F142" s="33"/>
      <c r="G142" s="34"/>
    </row>
    <row r="143" spans="1:7" ht="13">
      <c r="A143" s="34" t="str">
        <f t="shared" ca="1" si="0"/>
        <v>Walker, M</v>
      </c>
      <c r="B143" s="33" t="str">
        <f ca="1">IFERROR(__xludf.DUMMYFUNCTION("""COMPUTED_VALUE"""),"Walker")</f>
        <v>Walker</v>
      </c>
      <c r="C143" s="33" t="str">
        <f ca="1">IFERROR(__xludf.DUMMYFUNCTION("""COMPUTED_VALUE"""),"Marissa")</f>
        <v>Marissa</v>
      </c>
      <c r="D143" s="33" t="str">
        <f ca="1">IFERROR(__xludf.DUMMYFUNCTION("""COMPUTED_VALUE"""),"Diversity, Equity &amp; Inclusion Committee")</f>
        <v>Diversity, Equity &amp; Inclusion Committee</v>
      </c>
      <c r="E143" s="33" t="str">
        <f ca="1">IFERROR(__xludf.DUMMYFUNCTION("""COMPUTED_VALUE"""),"Member")</f>
        <v>Member</v>
      </c>
      <c r="F143" s="33"/>
      <c r="G143" s="34"/>
    </row>
    <row r="144" spans="1:7" ht="13">
      <c r="A144" s="34" t="str">
        <f t="shared" ca="1" si="0"/>
        <v>Whelan, J</v>
      </c>
      <c r="B144" s="33" t="str">
        <f ca="1">IFERROR(__xludf.DUMMYFUNCTION("""COMPUTED_VALUE"""),"Whelan")</f>
        <v>Whelan</v>
      </c>
      <c r="C144" s="33" t="str">
        <f ca="1">IFERROR(__xludf.DUMMYFUNCTION("""COMPUTED_VALUE"""),"John")</f>
        <v>John</v>
      </c>
      <c r="D144" s="33" t="str">
        <f ca="1">IFERROR(__xludf.DUMMYFUNCTION("""COMPUTED_VALUE"""),"Continuous Waves WG")</f>
        <v>Continuous Waves WG</v>
      </c>
      <c r="E144" s="33" t="str">
        <f ca="1">IFERROR(__xludf.DUMMYFUNCTION("""COMPUTED_VALUE"""),"Chair")</f>
        <v>Chair</v>
      </c>
      <c r="F144" s="33"/>
      <c r="G144" s="34"/>
    </row>
    <row r="145" spans="1:7" ht="13">
      <c r="A145" s="34" t="str">
        <f t="shared" ca="1" si="0"/>
        <v>Whelan, J</v>
      </c>
      <c r="B145" s="33" t="str">
        <f ca="1">IFERROR(__xludf.DUMMYFUNCTION("""COMPUTED_VALUE"""),"Whelan")</f>
        <v>Whelan</v>
      </c>
      <c r="C145" s="33" t="str">
        <f ca="1">IFERROR(__xludf.DUMMYFUNCTION("""COMPUTED_VALUE"""),"John")</f>
        <v>John</v>
      </c>
      <c r="D145" s="33" t="str">
        <f ca="1">IFERROR(__xludf.DUMMYFUNCTION("""COMPUTED_VALUE"""),"Elections &amp; Membership Committee")</f>
        <v>Elections &amp; Membership Committee</v>
      </c>
      <c r="E145" s="33" t="str">
        <f ca="1">IFERROR(__xludf.DUMMYFUNCTION("""COMPUTED_VALUE"""),"Chair")</f>
        <v>Chair</v>
      </c>
      <c r="F145" s="33"/>
      <c r="G145" s="34"/>
    </row>
    <row r="146" spans="1:7" ht="13">
      <c r="A146" s="34" t="str">
        <f t="shared" ca="1" si="0"/>
        <v>Williams, D</v>
      </c>
      <c r="B146" s="33" t="str">
        <f ca="1">IFERROR(__xludf.DUMMYFUNCTION("""COMPUTED_VALUE"""),"Williams")</f>
        <v>Williams</v>
      </c>
      <c r="C146" s="33" t="str">
        <f ca="1">IFERROR(__xludf.DUMMYFUNCTION("""COMPUTED_VALUE"""),"Daniel")</f>
        <v>Daniel</v>
      </c>
      <c r="D146" s="33" t="str">
        <f ca="1">IFERROR(__xludf.DUMMYFUNCTION("""COMPUTED_VALUE"""),"Diversity, Equity &amp; Inclusion Committee")</f>
        <v>Diversity, Equity &amp; Inclusion Committee</v>
      </c>
      <c r="E146" s="33" t="str">
        <f ca="1">IFERROR(__xludf.DUMMYFUNCTION("""COMPUTED_VALUE"""),"Member")</f>
        <v>Member</v>
      </c>
      <c r="F146" s="33"/>
      <c r="G146" s="34"/>
    </row>
    <row r="147" spans="1:7" ht="13">
      <c r="A147" s="34" t="str">
        <f t="shared" ca="1" si="0"/>
        <v>Williamson, A</v>
      </c>
      <c r="B147" s="33" t="str">
        <f ca="1">IFERROR(__xludf.DUMMYFUNCTION("""COMPUTED_VALUE"""),"Williamson")</f>
        <v>Williamson</v>
      </c>
      <c r="C147" s="33" t="str">
        <f ca="1">IFERROR(__xludf.DUMMYFUNCTION("""COMPUTED_VALUE"""),"Andrew")</f>
        <v>Andrew</v>
      </c>
      <c r="D147" s="33" t="str">
        <f ca="1">IFERROR(__xludf.DUMMYFUNCTION("""COMPUTED_VALUE"""),"GRB/FRB/Magnetar Subgroup Burst")</f>
        <v>GRB/FRB/Magnetar Subgroup Burst</v>
      </c>
      <c r="E147" s="33" t="str">
        <f ca="1">IFERROR(__xludf.DUMMYFUNCTION("""COMPUTED_VALUE"""),"Chair")</f>
        <v>Chair</v>
      </c>
      <c r="F147" s="33"/>
      <c r="G147" s="34"/>
    </row>
    <row r="148" spans="1:7" ht="13">
      <c r="A148" s="34" t="str">
        <f t="shared" ca="1" si="0"/>
        <v>Zimmerman, A</v>
      </c>
      <c r="B148" s="33" t="str">
        <f ca="1">IFERROR(__xludf.DUMMYFUNCTION("""COMPUTED_VALUE"""),"Zimmerman")</f>
        <v>Zimmerman</v>
      </c>
      <c r="C148" s="33" t="str">
        <f ca="1">IFERROR(__xludf.DUMMYFUNCTION("""COMPUTED_VALUE"""),"Aaron")</f>
        <v>Aaron</v>
      </c>
      <c r="D148" s="33" t="str">
        <f ca="1">IFERROR(__xludf.DUMMYFUNCTION("""COMPUTED_VALUE"""),"Parameter Estimation Subgroup CBC")</f>
        <v>Parameter Estimation Subgroup CBC</v>
      </c>
      <c r="E148" s="33" t="str">
        <f ca="1">IFERROR(__xludf.DUMMYFUNCTION("""COMPUTED_VALUE"""),"Chair")</f>
        <v>Chair</v>
      </c>
      <c r="F148" s="33"/>
      <c r="G148" s="34"/>
    </row>
    <row r="149" spans="1:7" ht="13">
      <c r="A149" s="34" t="str">
        <f t="shared" si="0"/>
        <v xml:space="preserve">, </v>
      </c>
      <c r="G149" s="34"/>
    </row>
    <row r="150" spans="1:7" ht="13">
      <c r="A150" s="34" t="str">
        <f t="shared" si="0"/>
        <v xml:space="preserve">, </v>
      </c>
      <c r="G150" s="34"/>
    </row>
    <row r="151" spans="1:7" ht="13">
      <c r="A151" s="34" t="str">
        <f t="shared" si="0"/>
        <v xml:space="preserve">, </v>
      </c>
      <c r="G151" s="34"/>
    </row>
    <row r="152" spans="1:7" ht="13">
      <c r="A152" s="34" t="str">
        <f t="shared" si="0"/>
        <v xml:space="preserve">, </v>
      </c>
      <c r="G152" s="34"/>
    </row>
    <row r="153" spans="1:7" ht="13">
      <c r="A153" s="34" t="str">
        <f t="shared" si="0"/>
        <v xml:space="preserve">, </v>
      </c>
      <c r="G153" s="34"/>
    </row>
    <row r="154" spans="1:7" ht="13">
      <c r="A154" s="34" t="str">
        <f t="shared" si="0"/>
        <v xml:space="preserve">, </v>
      </c>
      <c r="G154" s="34"/>
    </row>
    <row r="155" spans="1:7" ht="13">
      <c r="A155" s="34" t="str">
        <f t="shared" si="0"/>
        <v xml:space="preserve">, </v>
      </c>
      <c r="G155" s="34"/>
    </row>
    <row r="156" spans="1:7" ht="13">
      <c r="A156" s="34" t="str">
        <f t="shared" si="0"/>
        <v xml:space="preserve">, </v>
      </c>
      <c r="G156" s="34"/>
    </row>
    <row r="157" spans="1:7" ht="13">
      <c r="A157" s="34" t="str">
        <f t="shared" si="0"/>
        <v xml:space="preserve">, </v>
      </c>
      <c r="G157" s="34"/>
    </row>
    <row r="158" spans="1:7" ht="13">
      <c r="A158" s="34" t="str">
        <f t="shared" si="0"/>
        <v xml:space="preserve">, </v>
      </c>
      <c r="G158" s="34"/>
    </row>
    <row r="159" spans="1:7" ht="13">
      <c r="A159" s="34" t="str">
        <f t="shared" si="0"/>
        <v xml:space="preserve">, </v>
      </c>
      <c r="G159" s="34"/>
    </row>
    <row r="160" spans="1:7" ht="13">
      <c r="A160" s="34" t="str">
        <f t="shared" si="0"/>
        <v xml:space="preserve">, </v>
      </c>
      <c r="G160" s="34"/>
    </row>
    <row r="161" spans="1:7" ht="13">
      <c r="A161" s="34" t="str">
        <f t="shared" si="0"/>
        <v xml:space="preserve">, </v>
      </c>
      <c r="G161" s="34"/>
    </row>
    <row r="162" spans="1:7" ht="13">
      <c r="A162" s="34" t="str">
        <f t="shared" si="0"/>
        <v xml:space="preserve">, </v>
      </c>
      <c r="G162" s="34"/>
    </row>
    <row r="163" spans="1:7" ht="13">
      <c r="A163" s="34" t="str">
        <f t="shared" si="0"/>
        <v xml:space="preserve">, </v>
      </c>
      <c r="G163" s="34"/>
    </row>
    <row r="164" spans="1:7" ht="13">
      <c r="A164" s="34" t="str">
        <f t="shared" si="0"/>
        <v xml:space="preserve">, </v>
      </c>
      <c r="G164" s="34"/>
    </row>
    <row r="165" spans="1:7" ht="13">
      <c r="A165" s="34" t="str">
        <f t="shared" si="0"/>
        <v xml:space="preserve">, </v>
      </c>
      <c r="G165" s="34"/>
    </row>
    <row r="166" spans="1:7" ht="13">
      <c r="A166" s="34" t="str">
        <f t="shared" si="0"/>
        <v xml:space="preserve">, </v>
      </c>
      <c r="G166" s="34"/>
    </row>
    <row r="167" spans="1:7" ht="13">
      <c r="A167" s="34" t="str">
        <f t="shared" si="0"/>
        <v xml:space="preserve">, </v>
      </c>
      <c r="G167" s="34"/>
    </row>
    <row r="168" spans="1:7" ht="13">
      <c r="A168" s="34" t="str">
        <f t="shared" si="0"/>
        <v xml:space="preserve">, </v>
      </c>
      <c r="G168" s="34"/>
    </row>
    <row r="169" spans="1:7" ht="13">
      <c r="A169" s="34" t="str">
        <f t="shared" si="0"/>
        <v xml:space="preserve">, </v>
      </c>
      <c r="G169" s="34"/>
    </row>
    <row r="170" spans="1:7" ht="13">
      <c r="A170" s="34" t="str">
        <f t="shared" si="0"/>
        <v xml:space="preserve">, </v>
      </c>
      <c r="G170" s="34"/>
    </row>
    <row r="171" spans="1:7" ht="13">
      <c r="A171" s="34" t="str">
        <f t="shared" si="0"/>
        <v xml:space="preserve">, </v>
      </c>
      <c r="G171" s="34"/>
    </row>
    <row r="172" spans="1:7" ht="13">
      <c r="A172" s="34" t="str">
        <f t="shared" si="0"/>
        <v xml:space="preserve">, </v>
      </c>
      <c r="G172" s="34"/>
    </row>
    <row r="173" spans="1:7" ht="13">
      <c r="A173" s="34" t="str">
        <f t="shared" si="0"/>
        <v xml:space="preserve">, </v>
      </c>
      <c r="G173" s="34"/>
    </row>
    <row r="174" spans="1:7" ht="13">
      <c r="A174" s="34" t="str">
        <f t="shared" si="0"/>
        <v xml:space="preserve">, </v>
      </c>
      <c r="G174" s="34"/>
    </row>
    <row r="175" spans="1:7" ht="13">
      <c r="A175" s="34" t="str">
        <f t="shared" si="0"/>
        <v xml:space="preserve">, </v>
      </c>
      <c r="G175" s="34"/>
    </row>
    <row r="176" spans="1:7" ht="13">
      <c r="A176" s="34" t="str">
        <f t="shared" si="0"/>
        <v xml:space="preserve">, </v>
      </c>
      <c r="G176" s="34"/>
    </row>
    <row r="177" spans="1:7" ht="13">
      <c r="A177" s="34" t="str">
        <f t="shared" si="0"/>
        <v xml:space="preserve">, </v>
      </c>
      <c r="G177" s="34"/>
    </row>
    <row r="178" spans="1:7" ht="13">
      <c r="A178" s="34" t="str">
        <f t="shared" si="0"/>
        <v xml:space="preserve">, </v>
      </c>
      <c r="G178" s="34"/>
    </row>
    <row r="179" spans="1:7" ht="13">
      <c r="A179" s="34" t="str">
        <f t="shared" si="0"/>
        <v xml:space="preserve">, </v>
      </c>
      <c r="G179" s="34"/>
    </row>
    <row r="180" spans="1:7" ht="13">
      <c r="A180" s="34" t="str">
        <f t="shared" si="0"/>
        <v xml:space="preserve">, </v>
      </c>
      <c r="G180" s="34"/>
    </row>
    <row r="181" spans="1:7" ht="13">
      <c r="A181" s="34" t="str">
        <f t="shared" si="0"/>
        <v xml:space="preserve">, </v>
      </c>
      <c r="G181" s="34"/>
    </row>
    <row r="182" spans="1:7" ht="13">
      <c r="A182" s="34" t="str">
        <f t="shared" si="0"/>
        <v xml:space="preserve">, </v>
      </c>
      <c r="G182" s="34"/>
    </row>
    <row r="183" spans="1:7" ht="13">
      <c r="A183" s="34" t="str">
        <f t="shared" si="0"/>
        <v xml:space="preserve">, </v>
      </c>
      <c r="G183" s="34"/>
    </row>
    <row r="184" spans="1:7" ht="13">
      <c r="A184" s="34" t="str">
        <f t="shared" si="0"/>
        <v xml:space="preserve">, </v>
      </c>
      <c r="G184" s="34"/>
    </row>
    <row r="185" spans="1:7" ht="13">
      <c r="A185" s="34" t="str">
        <f t="shared" si="0"/>
        <v xml:space="preserve">, </v>
      </c>
      <c r="G185" s="34"/>
    </row>
    <row r="186" spans="1:7" ht="13">
      <c r="A186" s="34" t="str">
        <f t="shared" si="0"/>
        <v xml:space="preserve">, </v>
      </c>
      <c r="G186" s="34"/>
    </row>
    <row r="187" spans="1:7" ht="13">
      <c r="A187" s="34" t="str">
        <f t="shared" si="0"/>
        <v xml:space="preserve">, </v>
      </c>
      <c r="G187" s="34"/>
    </row>
    <row r="188" spans="1:7" ht="13">
      <c r="A188" s="34" t="str">
        <f t="shared" si="0"/>
        <v xml:space="preserve">, </v>
      </c>
      <c r="G188" s="34"/>
    </row>
    <row r="189" spans="1:7" ht="13">
      <c r="A189" s="34" t="str">
        <f t="shared" si="0"/>
        <v xml:space="preserve">, </v>
      </c>
      <c r="G189" s="34"/>
    </row>
    <row r="190" spans="1:7" ht="13">
      <c r="A190" s="34" t="str">
        <f t="shared" si="0"/>
        <v xml:space="preserve">, </v>
      </c>
      <c r="G190" s="34"/>
    </row>
    <row r="191" spans="1:7" ht="13">
      <c r="A191" s="34" t="str">
        <f t="shared" si="0"/>
        <v xml:space="preserve">, </v>
      </c>
      <c r="G191" s="34"/>
    </row>
    <row r="192" spans="1:7" ht="13">
      <c r="A192" s="34" t="str">
        <f t="shared" si="0"/>
        <v xml:space="preserve">, </v>
      </c>
      <c r="G192" s="34"/>
    </row>
    <row r="193" spans="1:7" ht="13">
      <c r="A193" s="34" t="str">
        <f t="shared" si="0"/>
        <v xml:space="preserve">, </v>
      </c>
      <c r="G193" s="34"/>
    </row>
    <row r="194" spans="1:7" ht="13">
      <c r="A194" s="34" t="str">
        <f t="shared" si="0"/>
        <v xml:space="preserve">, </v>
      </c>
      <c r="G194" s="34"/>
    </row>
    <row r="195" spans="1:7" ht="13">
      <c r="A195" s="34" t="str">
        <f t="shared" si="0"/>
        <v xml:space="preserve">, </v>
      </c>
      <c r="G195" s="34"/>
    </row>
    <row r="196" spans="1:7" ht="13">
      <c r="A196" s="34" t="str">
        <f t="shared" si="0"/>
        <v xml:space="preserve">, </v>
      </c>
      <c r="G196" s="34"/>
    </row>
    <row r="197" spans="1:7" ht="13">
      <c r="A197" s="34" t="str">
        <f t="shared" si="0"/>
        <v xml:space="preserve">, </v>
      </c>
      <c r="G197" s="34"/>
    </row>
    <row r="198" spans="1:7" ht="13">
      <c r="A198" s="34" t="str">
        <f t="shared" si="0"/>
        <v xml:space="preserve">, </v>
      </c>
      <c r="G198" s="34"/>
    </row>
    <row r="199" spans="1:7" ht="13">
      <c r="A199" s="34" t="str">
        <f t="shared" si="0"/>
        <v xml:space="preserve">, </v>
      </c>
      <c r="G199" s="34"/>
    </row>
    <row r="200" spans="1:7" ht="13">
      <c r="A200" s="34" t="str">
        <f t="shared" si="0"/>
        <v xml:space="preserve">, </v>
      </c>
      <c r="G200" s="34"/>
    </row>
    <row r="201" spans="1:7" ht="13">
      <c r="G201" s="34"/>
    </row>
    <row r="202" spans="1:7" ht="13">
      <c r="G202" s="34"/>
    </row>
    <row r="203" spans="1:7" ht="13">
      <c r="G203" s="34"/>
    </row>
    <row r="204" spans="1:7" ht="13">
      <c r="G204" s="34"/>
    </row>
    <row r="205" spans="1:7" ht="13">
      <c r="G205" s="34"/>
    </row>
    <row r="206" spans="1:7" ht="13">
      <c r="G206" s="34"/>
    </row>
    <row r="207" spans="1:7" ht="13">
      <c r="G207" s="34"/>
    </row>
    <row r="208" spans="1:7" ht="13">
      <c r="G208" s="34"/>
    </row>
    <row r="209" spans="7:7" ht="13">
      <c r="G209" s="34"/>
    </row>
    <row r="210" spans="7:7" ht="13">
      <c r="G210" s="34"/>
    </row>
    <row r="211" spans="7:7" ht="13">
      <c r="G211" s="34"/>
    </row>
    <row r="212" spans="7:7" ht="13">
      <c r="G212" s="34"/>
    </row>
    <row r="213" spans="7:7" ht="13">
      <c r="G213" s="34"/>
    </row>
    <row r="214" spans="7:7" ht="13">
      <c r="G214" s="34"/>
    </row>
    <row r="215" spans="7:7" ht="13">
      <c r="G215" s="34"/>
    </row>
    <row r="216" spans="7:7" ht="13">
      <c r="G216" s="34"/>
    </row>
    <row r="217" spans="7:7" ht="13">
      <c r="G217" s="34"/>
    </row>
    <row r="218" spans="7:7" ht="13">
      <c r="G218" s="34"/>
    </row>
    <row r="219" spans="7:7" ht="13">
      <c r="G219" s="34"/>
    </row>
    <row r="220" spans="7:7" ht="13">
      <c r="G220" s="34"/>
    </row>
    <row r="221" spans="7:7" ht="13">
      <c r="G221" s="34"/>
    </row>
    <row r="222" spans="7:7" ht="13">
      <c r="G222" s="34"/>
    </row>
    <row r="223" spans="7:7" ht="13">
      <c r="G223" s="34"/>
    </row>
    <row r="224" spans="7:7" ht="13">
      <c r="G224" s="34"/>
    </row>
    <row r="225" spans="7:7" ht="13">
      <c r="G225" s="34"/>
    </row>
    <row r="226" spans="7:7" ht="13">
      <c r="G226" s="34"/>
    </row>
    <row r="227" spans="7:7" ht="13">
      <c r="G227" s="34"/>
    </row>
    <row r="228" spans="7:7" ht="13">
      <c r="G228" s="34"/>
    </row>
    <row r="229" spans="7:7" ht="13">
      <c r="G229" s="34"/>
    </row>
    <row r="230" spans="7:7" ht="13">
      <c r="G230" s="34"/>
    </row>
    <row r="231" spans="7:7" ht="13">
      <c r="G231" s="34"/>
    </row>
    <row r="232" spans="7:7" ht="13">
      <c r="G232" s="34"/>
    </row>
    <row r="233" spans="7:7" ht="13">
      <c r="G233" s="34"/>
    </row>
    <row r="234" spans="7:7" ht="13">
      <c r="G234" s="34"/>
    </row>
    <row r="235" spans="7:7" ht="13">
      <c r="G235" s="34"/>
    </row>
    <row r="236" spans="7:7" ht="13">
      <c r="G236" s="34"/>
    </row>
    <row r="237" spans="7:7" ht="13">
      <c r="G237" s="34"/>
    </row>
    <row r="238" spans="7:7" ht="13">
      <c r="G238" s="34"/>
    </row>
    <row r="239" spans="7:7" ht="13">
      <c r="G239" s="34"/>
    </row>
    <row r="240" spans="7:7" ht="13">
      <c r="G240" s="34"/>
    </row>
    <row r="241" spans="7:7" ht="13">
      <c r="G241" s="34"/>
    </row>
    <row r="242" spans="7:7" ht="13">
      <c r="G242" s="34"/>
    </row>
    <row r="243" spans="7:7" ht="13">
      <c r="G243" s="34"/>
    </row>
    <row r="244" spans="7:7" ht="13">
      <c r="G244" s="34"/>
    </row>
    <row r="245" spans="7:7" ht="13">
      <c r="G245" s="34"/>
    </row>
    <row r="246" spans="7:7" ht="13">
      <c r="G246" s="34"/>
    </row>
    <row r="247" spans="7:7" ht="13">
      <c r="G247" s="34"/>
    </row>
    <row r="248" spans="7:7" ht="13">
      <c r="G248" s="34"/>
    </row>
    <row r="249" spans="7:7" ht="13">
      <c r="G249" s="34"/>
    </row>
    <row r="250" spans="7:7" ht="13">
      <c r="G250" s="34"/>
    </row>
    <row r="251" spans="7:7" ht="13">
      <c r="G251" s="34"/>
    </row>
    <row r="252" spans="7:7" ht="13">
      <c r="G252" s="34"/>
    </row>
    <row r="253" spans="7:7" ht="13">
      <c r="G253" s="34"/>
    </row>
    <row r="254" spans="7:7" ht="13">
      <c r="G254" s="34"/>
    </row>
    <row r="255" spans="7:7" ht="13">
      <c r="G255" s="34"/>
    </row>
    <row r="256" spans="7:7" ht="13">
      <c r="G256" s="34"/>
    </row>
    <row r="257" spans="7:7" ht="13">
      <c r="G257" s="34"/>
    </row>
    <row r="258" spans="7:7" ht="13">
      <c r="G258" s="34"/>
    </row>
    <row r="259" spans="7:7" ht="13">
      <c r="G259" s="34"/>
    </row>
    <row r="260" spans="7:7" ht="13">
      <c r="G260" s="34"/>
    </row>
    <row r="261" spans="7:7" ht="13">
      <c r="G261" s="34"/>
    </row>
    <row r="262" spans="7:7" ht="13">
      <c r="G262" s="34"/>
    </row>
    <row r="263" spans="7:7" ht="13">
      <c r="G263" s="34"/>
    </row>
    <row r="264" spans="7:7" ht="13">
      <c r="G264" s="34"/>
    </row>
    <row r="265" spans="7:7" ht="13">
      <c r="G265" s="34"/>
    </row>
    <row r="266" spans="7:7" ht="13">
      <c r="G266" s="34"/>
    </row>
    <row r="267" spans="7:7" ht="13">
      <c r="G267" s="34"/>
    </row>
    <row r="268" spans="7:7" ht="13">
      <c r="G268" s="34"/>
    </row>
    <row r="269" spans="7:7" ht="13">
      <c r="G269" s="34"/>
    </row>
    <row r="270" spans="7:7" ht="13">
      <c r="G270" s="34"/>
    </row>
    <row r="271" spans="7:7" ht="13">
      <c r="G271" s="34"/>
    </row>
    <row r="272" spans="7:7" ht="13">
      <c r="G272" s="34"/>
    </row>
    <row r="273" spans="7:7" ht="13">
      <c r="G273" s="34"/>
    </row>
    <row r="274" spans="7:7" ht="13">
      <c r="G274" s="34"/>
    </row>
    <row r="275" spans="7:7" ht="13">
      <c r="G275" s="34"/>
    </row>
    <row r="276" spans="7:7" ht="13">
      <c r="G276" s="34"/>
    </row>
    <row r="277" spans="7:7" ht="13">
      <c r="G277" s="34"/>
    </row>
    <row r="278" spans="7:7" ht="13">
      <c r="G278" s="34"/>
    </row>
    <row r="279" spans="7:7" ht="13">
      <c r="G279" s="34"/>
    </row>
    <row r="280" spans="7:7" ht="13">
      <c r="G280" s="34"/>
    </row>
    <row r="281" spans="7:7" ht="13">
      <c r="G281" s="34"/>
    </row>
    <row r="282" spans="7:7" ht="13">
      <c r="G282" s="34"/>
    </row>
    <row r="283" spans="7:7" ht="13">
      <c r="G283" s="34"/>
    </row>
    <row r="284" spans="7:7" ht="13">
      <c r="G284" s="34"/>
    </row>
    <row r="285" spans="7:7" ht="13">
      <c r="G285" s="34"/>
    </row>
    <row r="286" spans="7:7" ht="13">
      <c r="G286" s="34"/>
    </row>
    <row r="287" spans="7:7" ht="13">
      <c r="G287" s="34"/>
    </row>
    <row r="288" spans="7:7" ht="13">
      <c r="G288" s="34"/>
    </row>
    <row r="289" spans="7:7" ht="13">
      <c r="G289" s="34"/>
    </row>
    <row r="290" spans="7:7" ht="13">
      <c r="G290" s="34"/>
    </row>
    <row r="291" spans="7:7" ht="13">
      <c r="G291" s="34"/>
    </row>
    <row r="292" spans="7:7" ht="13">
      <c r="G292" s="34"/>
    </row>
    <row r="293" spans="7:7" ht="13">
      <c r="G293" s="34"/>
    </row>
    <row r="294" spans="7:7" ht="13">
      <c r="G294" s="34"/>
    </row>
    <row r="295" spans="7:7" ht="13">
      <c r="G295" s="34"/>
    </row>
    <row r="296" spans="7:7" ht="13">
      <c r="G296" s="34"/>
    </row>
    <row r="297" spans="7:7" ht="13">
      <c r="G297" s="34"/>
    </row>
    <row r="298" spans="7:7" ht="13">
      <c r="G298" s="34"/>
    </row>
    <row r="299" spans="7:7" ht="13">
      <c r="G299" s="34"/>
    </row>
    <row r="300" spans="7:7" ht="13">
      <c r="G300" s="34"/>
    </row>
    <row r="301" spans="7:7" ht="13">
      <c r="G301" s="34"/>
    </row>
    <row r="302" spans="7:7" ht="13">
      <c r="G302" s="34"/>
    </row>
    <row r="303" spans="7:7" ht="13">
      <c r="G303" s="34"/>
    </row>
    <row r="304" spans="7:7" ht="13">
      <c r="G304" s="34"/>
    </row>
    <row r="305" spans="7:7" ht="13">
      <c r="G305" s="34"/>
    </row>
    <row r="306" spans="7:7" ht="13">
      <c r="G306" s="34"/>
    </row>
    <row r="307" spans="7:7" ht="13">
      <c r="G307" s="34"/>
    </row>
    <row r="308" spans="7:7" ht="13">
      <c r="G308" s="34"/>
    </row>
    <row r="309" spans="7:7" ht="13">
      <c r="G309" s="34"/>
    </row>
    <row r="310" spans="7:7" ht="13">
      <c r="G310" s="34"/>
    </row>
    <row r="311" spans="7:7" ht="13">
      <c r="G311" s="34"/>
    </row>
    <row r="312" spans="7:7" ht="13">
      <c r="G312" s="34"/>
    </row>
    <row r="313" spans="7:7" ht="13">
      <c r="G313" s="34"/>
    </row>
    <row r="314" spans="7:7" ht="13">
      <c r="G314" s="34"/>
    </row>
    <row r="315" spans="7:7" ht="13">
      <c r="G315" s="34"/>
    </row>
    <row r="316" spans="7:7" ht="13">
      <c r="G316" s="34"/>
    </row>
    <row r="317" spans="7:7" ht="13">
      <c r="G317" s="34"/>
    </row>
    <row r="318" spans="7:7" ht="13">
      <c r="G318" s="34"/>
    </row>
    <row r="319" spans="7:7" ht="13">
      <c r="G319" s="34"/>
    </row>
    <row r="320" spans="7:7" ht="13">
      <c r="G320" s="34"/>
    </row>
    <row r="321" spans="7:7" ht="13">
      <c r="G321" s="34"/>
    </row>
    <row r="322" spans="7:7" ht="13">
      <c r="G322" s="34"/>
    </row>
    <row r="323" spans="7:7" ht="13">
      <c r="G323" s="34"/>
    </row>
    <row r="324" spans="7:7" ht="13">
      <c r="G324" s="34"/>
    </row>
    <row r="325" spans="7:7" ht="13">
      <c r="G325" s="34"/>
    </row>
    <row r="326" spans="7:7" ht="13">
      <c r="G326" s="34"/>
    </row>
    <row r="327" spans="7:7" ht="13">
      <c r="G327" s="34"/>
    </row>
    <row r="328" spans="7:7" ht="13">
      <c r="G328" s="34"/>
    </row>
    <row r="329" spans="7:7" ht="13">
      <c r="G329" s="34"/>
    </row>
    <row r="330" spans="7:7" ht="13">
      <c r="G330" s="34"/>
    </row>
    <row r="331" spans="7:7" ht="13">
      <c r="G331" s="34"/>
    </row>
    <row r="332" spans="7:7" ht="13">
      <c r="G332" s="34"/>
    </row>
    <row r="333" spans="7:7" ht="13">
      <c r="G333" s="34"/>
    </row>
    <row r="334" spans="7:7" ht="13">
      <c r="G334" s="34"/>
    </row>
    <row r="335" spans="7:7" ht="13">
      <c r="G335" s="34"/>
    </row>
    <row r="336" spans="7:7" ht="13">
      <c r="G336" s="34"/>
    </row>
    <row r="337" spans="7:7" ht="13">
      <c r="G337" s="34"/>
    </row>
    <row r="338" spans="7:7" ht="13">
      <c r="G338" s="34"/>
    </row>
    <row r="339" spans="7:7" ht="13">
      <c r="G339" s="34"/>
    </row>
    <row r="340" spans="7:7" ht="13">
      <c r="G340" s="34"/>
    </row>
    <row r="341" spans="7:7" ht="13">
      <c r="G341" s="34"/>
    </row>
    <row r="342" spans="7:7" ht="13">
      <c r="G342" s="34"/>
    </row>
    <row r="343" spans="7:7" ht="13">
      <c r="G343" s="34"/>
    </row>
    <row r="344" spans="7:7" ht="13">
      <c r="G344" s="34"/>
    </row>
    <row r="345" spans="7:7" ht="13">
      <c r="G345" s="34"/>
    </row>
    <row r="346" spans="7:7" ht="13">
      <c r="G346" s="34"/>
    </row>
    <row r="347" spans="7:7" ht="13">
      <c r="G347" s="34"/>
    </row>
    <row r="348" spans="7:7" ht="13">
      <c r="G348" s="34"/>
    </row>
    <row r="349" spans="7:7" ht="13">
      <c r="G349" s="34"/>
    </row>
    <row r="350" spans="7:7" ht="13">
      <c r="G350" s="34"/>
    </row>
    <row r="351" spans="7:7" ht="13">
      <c r="G351" s="34"/>
    </row>
    <row r="352" spans="7:7" ht="13">
      <c r="G352" s="34"/>
    </row>
    <row r="353" spans="7:7" ht="13">
      <c r="G353" s="34"/>
    </row>
    <row r="354" spans="7:7" ht="13">
      <c r="G354" s="34"/>
    </row>
    <row r="355" spans="7:7" ht="13">
      <c r="G355" s="34"/>
    </row>
    <row r="356" spans="7:7" ht="13">
      <c r="G356" s="34"/>
    </row>
    <row r="357" spans="7:7" ht="13">
      <c r="G357" s="34"/>
    </row>
    <row r="358" spans="7:7" ht="13">
      <c r="G358" s="34"/>
    </row>
    <row r="359" spans="7:7" ht="13">
      <c r="G359" s="34"/>
    </row>
    <row r="360" spans="7:7" ht="13">
      <c r="G360" s="34"/>
    </row>
    <row r="361" spans="7:7" ht="13">
      <c r="G361" s="34"/>
    </row>
    <row r="362" spans="7:7" ht="13">
      <c r="G362" s="34"/>
    </row>
    <row r="363" spans="7:7" ht="13">
      <c r="G363" s="34"/>
    </row>
    <row r="364" spans="7:7" ht="13">
      <c r="G364" s="34"/>
    </row>
    <row r="365" spans="7:7" ht="13">
      <c r="G365" s="34"/>
    </row>
    <row r="366" spans="7:7" ht="13">
      <c r="G366" s="34"/>
    </row>
    <row r="367" spans="7:7" ht="13">
      <c r="G367" s="34"/>
    </row>
    <row r="368" spans="7:7" ht="13">
      <c r="G368" s="34"/>
    </row>
    <row r="369" spans="7:7" ht="13">
      <c r="G369" s="34"/>
    </row>
    <row r="370" spans="7:7" ht="13">
      <c r="G370" s="34"/>
    </row>
    <row r="371" spans="7:7" ht="13">
      <c r="G371" s="34"/>
    </row>
    <row r="372" spans="7:7" ht="13">
      <c r="G372" s="34"/>
    </row>
    <row r="373" spans="7:7" ht="13">
      <c r="G373" s="34"/>
    </row>
    <row r="374" spans="7:7" ht="13">
      <c r="G374" s="34"/>
    </row>
    <row r="375" spans="7:7" ht="13">
      <c r="G375" s="34"/>
    </row>
    <row r="376" spans="7:7" ht="13">
      <c r="G376" s="34"/>
    </row>
    <row r="377" spans="7:7" ht="13">
      <c r="G377" s="34"/>
    </row>
    <row r="378" spans="7:7" ht="13">
      <c r="G378" s="34"/>
    </row>
    <row r="379" spans="7:7" ht="13">
      <c r="G379" s="34"/>
    </row>
    <row r="380" spans="7:7" ht="13">
      <c r="G380" s="34"/>
    </row>
    <row r="381" spans="7:7" ht="13">
      <c r="G381" s="34"/>
    </row>
    <row r="382" spans="7:7" ht="13">
      <c r="G382" s="34"/>
    </row>
    <row r="383" spans="7:7" ht="13">
      <c r="G383" s="34"/>
    </row>
    <row r="384" spans="7:7" ht="13">
      <c r="G384" s="34"/>
    </row>
    <row r="385" spans="7:7" ht="13">
      <c r="G385" s="34"/>
    </row>
    <row r="386" spans="7:7" ht="13">
      <c r="G386" s="34"/>
    </row>
    <row r="387" spans="7:7" ht="13">
      <c r="G387" s="34"/>
    </row>
    <row r="388" spans="7:7" ht="13">
      <c r="G388" s="34"/>
    </row>
    <row r="389" spans="7:7" ht="13">
      <c r="G389" s="34"/>
    </row>
    <row r="390" spans="7:7" ht="13">
      <c r="G390" s="34"/>
    </row>
    <row r="391" spans="7:7" ht="13">
      <c r="G391" s="34"/>
    </row>
    <row r="392" spans="7:7" ht="13">
      <c r="G392" s="34"/>
    </row>
    <row r="393" spans="7:7" ht="13">
      <c r="G393" s="34"/>
    </row>
    <row r="394" spans="7:7" ht="13">
      <c r="G394" s="34"/>
    </row>
    <row r="395" spans="7:7" ht="13">
      <c r="G395" s="34"/>
    </row>
    <row r="396" spans="7:7" ht="13">
      <c r="G396" s="34"/>
    </row>
    <row r="397" spans="7:7" ht="13">
      <c r="G397" s="34"/>
    </row>
    <row r="398" spans="7:7" ht="13">
      <c r="G398" s="34"/>
    </row>
    <row r="399" spans="7:7" ht="13">
      <c r="G399" s="34"/>
    </row>
    <row r="400" spans="7:7" ht="13">
      <c r="G400" s="34"/>
    </row>
    <row r="401" spans="7:7" ht="13">
      <c r="G401" s="34"/>
    </row>
    <row r="402" spans="7:7" ht="13">
      <c r="G402" s="34"/>
    </row>
    <row r="403" spans="7:7" ht="13">
      <c r="G403" s="34"/>
    </row>
    <row r="404" spans="7:7" ht="13">
      <c r="G404" s="34"/>
    </row>
    <row r="405" spans="7:7" ht="13">
      <c r="G405" s="34"/>
    </row>
    <row r="406" spans="7:7" ht="13">
      <c r="G406" s="34"/>
    </row>
    <row r="407" spans="7:7" ht="13">
      <c r="G407" s="34"/>
    </row>
    <row r="408" spans="7:7" ht="13">
      <c r="G408" s="34"/>
    </row>
    <row r="409" spans="7:7" ht="13">
      <c r="G409" s="34"/>
    </row>
    <row r="410" spans="7:7" ht="13">
      <c r="G410" s="34"/>
    </row>
    <row r="411" spans="7:7" ht="13">
      <c r="G411" s="34"/>
    </row>
    <row r="412" spans="7:7" ht="13">
      <c r="G412" s="34"/>
    </row>
    <row r="413" spans="7:7" ht="13">
      <c r="G413" s="34"/>
    </row>
    <row r="414" spans="7:7" ht="13">
      <c r="G414" s="34"/>
    </row>
    <row r="415" spans="7:7" ht="13">
      <c r="G415" s="34"/>
    </row>
    <row r="416" spans="7:7" ht="13">
      <c r="G416" s="34"/>
    </row>
    <row r="417" spans="7:7" ht="13">
      <c r="G417" s="34"/>
    </row>
    <row r="418" spans="7:7" ht="13">
      <c r="G418" s="34"/>
    </row>
    <row r="419" spans="7:7" ht="13">
      <c r="G419" s="34"/>
    </row>
    <row r="420" spans="7:7" ht="13">
      <c r="G420" s="34"/>
    </row>
    <row r="421" spans="7:7" ht="13">
      <c r="G421" s="34"/>
    </row>
    <row r="422" spans="7:7" ht="13">
      <c r="G422" s="34"/>
    </row>
    <row r="423" spans="7:7" ht="13">
      <c r="G423" s="34"/>
    </row>
    <row r="424" spans="7:7" ht="13">
      <c r="G424" s="34"/>
    </row>
    <row r="425" spans="7:7" ht="13">
      <c r="G425" s="34"/>
    </row>
    <row r="426" spans="7:7" ht="13">
      <c r="G426" s="34"/>
    </row>
    <row r="427" spans="7:7" ht="13">
      <c r="G427" s="34"/>
    </row>
    <row r="428" spans="7:7" ht="13">
      <c r="G428" s="34"/>
    </row>
    <row r="429" spans="7:7" ht="13">
      <c r="G429" s="34"/>
    </row>
    <row r="430" spans="7:7" ht="13">
      <c r="G430" s="34"/>
    </row>
    <row r="431" spans="7:7" ht="13">
      <c r="G431" s="34"/>
    </row>
    <row r="432" spans="7:7" ht="13">
      <c r="G432" s="34"/>
    </row>
    <row r="433" spans="7:7" ht="13">
      <c r="G433" s="34"/>
    </row>
    <row r="434" spans="7:7" ht="13">
      <c r="G434" s="34"/>
    </row>
    <row r="435" spans="7:7" ht="13">
      <c r="G435" s="34"/>
    </row>
    <row r="436" spans="7:7" ht="13">
      <c r="G436" s="34"/>
    </row>
    <row r="437" spans="7:7" ht="13">
      <c r="G437" s="34"/>
    </row>
    <row r="438" spans="7:7" ht="13">
      <c r="G438" s="34"/>
    </row>
    <row r="439" spans="7:7" ht="13">
      <c r="G439" s="34"/>
    </row>
    <row r="440" spans="7:7" ht="13">
      <c r="G440" s="34"/>
    </row>
    <row r="441" spans="7:7" ht="13">
      <c r="G441" s="34"/>
    </row>
    <row r="442" spans="7:7" ht="13">
      <c r="G442" s="34"/>
    </row>
    <row r="443" spans="7:7" ht="13">
      <c r="G443" s="34"/>
    </row>
    <row r="444" spans="7:7" ht="13">
      <c r="G444" s="34"/>
    </row>
    <row r="445" spans="7:7" ht="13">
      <c r="G445" s="34"/>
    </row>
    <row r="446" spans="7:7" ht="13">
      <c r="G446" s="34"/>
    </row>
    <row r="447" spans="7:7" ht="13">
      <c r="G447" s="34"/>
    </row>
    <row r="448" spans="7:7" ht="13">
      <c r="G448" s="34"/>
    </row>
    <row r="449" spans="7:7" ht="13">
      <c r="G449" s="34"/>
    </row>
    <row r="450" spans="7:7" ht="13">
      <c r="G450" s="34"/>
    </row>
    <row r="451" spans="7:7" ht="13">
      <c r="G451" s="34"/>
    </row>
    <row r="452" spans="7:7" ht="13">
      <c r="G452" s="34"/>
    </row>
    <row r="453" spans="7:7" ht="13">
      <c r="G453" s="34"/>
    </row>
    <row r="454" spans="7:7" ht="13">
      <c r="G454" s="34"/>
    </row>
    <row r="455" spans="7:7" ht="13">
      <c r="G455" s="34"/>
    </row>
    <row r="456" spans="7:7" ht="13">
      <c r="G456" s="34"/>
    </row>
    <row r="457" spans="7:7" ht="13">
      <c r="G457" s="34"/>
    </row>
    <row r="458" spans="7:7" ht="13">
      <c r="G458" s="34"/>
    </row>
    <row r="459" spans="7:7" ht="13">
      <c r="G459" s="34"/>
    </row>
    <row r="460" spans="7:7" ht="13">
      <c r="G460" s="34"/>
    </row>
    <row r="461" spans="7:7" ht="13">
      <c r="G461" s="34"/>
    </row>
    <row r="462" spans="7:7" ht="13">
      <c r="G462" s="34"/>
    </row>
    <row r="463" spans="7:7" ht="13">
      <c r="G463" s="34"/>
    </row>
    <row r="464" spans="7:7" ht="13">
      <c r="G464" s="34"/>
    </row>
    <row r="465" spans="7:7" ht="13">
      <c r="G465" s="34"/>
    </row>
    <row r="466" spans="7:7" ht="13">
      <c r="G466" s="34"/>
    </row>
    <row r="467" spans="7:7" ht="13">
      <c r="G467" s="34"/>
    </row>
    <row r="468" spans="7:7" ht="13">
      <c r="G468" s="34"/>
    </row>
    <row r="469" spans="7:7" ht="13">
      <c r="G469" s="34"/>
    </row>
    <row r="470" spans="7:7" ht="13">
      <c r="G470" s="34"/>
    </row>
    <row r="471" spans="7:7" ht="13">
      <c r="G471" s="34"/>
    </row>
    <row r="472" spans="7:7" ht="13">
      <c r="G472" s="34"/>
    </row>
    <row r="473" spans="7:7" ht="13">
      <c r="G473" s="34"/>
    </row>
    <row r="474" spans="7:7" ht="13">
      <c r="G474" s="34"/>
    </row>
    <row r="475" spans="7:7" ht="13">
      <c r="G475" s="34"/>
    </row>
    <row r="476" spans="7:7" ht="13">
      <c r="G476" s="34"/>
    </row>
    <row r="477" spans="7:7" ht="13">
      <c r="G477" s="34"/>
    </row>
    <row r="478" spans="7:7" ht="13">
      <c r="G478" s="34"/>
    </row>
    <row r="479" spans="7:7" ht="13">
      <c r="G479" s="34"/>
    </row>
    <row r="480" spans="7:7" ht="13">
      <c r="G480" s="34"/>
    </row>
    <row r="481" spans="7:7" ht="13">
      <c r="G481" s="34"/>
    </row>
    <row r="482" spans="7:7" ht="13">
      <c r="G482" s="34"/>
    </row>
    <row r="483" spans="7:7" ht="13">
      <c r="G483" s="34"/>
    </row>
    <row r="484" spans="7:7" ht="13">
      <c r="G484" s="34"/>
    </row>
    <row r="485" spans="7:7" ht="13">
      <c r="G485" s="34"/>
    </row>
    <row r="486" spans="7:7" ht="13">
      <c r="G486" s="34"/>
    </row>
    <row r="487" spans="7:7" ht="13">
      <c r="G487" s="34"/>
    </row>
    <row r="488" spans="7:7" ht="13">
      <c r="G488" s="34"/>
    </row>
    <row r="489" spans="7:7" ht="13">
      <c r="G489" s="34"/>
    </row>
    <row r="490" spans="7:7" ht="13">
      <c r="G490" s="34"/>
    </row>
    <row r="491" spans="7:7" ht="13">
      <c r="G491" s="34"/>
    </row>
    <row r="492" spans="7:7" ht="13">
      <c r="G492" s="34"/>
    </row>
    <row r="493" spans="7:7" ht="13">
      <c r="G493" s="34"/>
    </row>
    <row r="494" spans="7:7" ht="13">
      <c r="G494" s="34"/>
    </row>
    <row r="495" spans="7:7" ht="13">
      <c r="G495" s="34"/>
    </row>
    <row r="496" spans="7:7" ht="13">
      <c r="G496" s="34"/>
    </row>
    <row r="497" spans="7:7" ht="13">
      <c r="G497" s="34"/>
    </row>
    <row r="498" spans="7:7" ht="13">
      <c r="G498" s="34"/>
    </row>
    <row r="499" spans="7:7" ht="13">
      <c r="G499" s="34"/>
    </row>
    <row r="500" spans="7:7" ht="13">
      <c r="G500" s="34"/>
    </row>
    <row r="501" spans="7:7" ht="13">
      <c r="G501" s="34"/>
    </row>
    <row r="502" spans="7:7" ht="13">
      <c r="G502" s="34"/>
    </row>
    <row r="503" spans="7:7" ht="13">
      <c r="G503" s="34"/>
    </row>
    <row r="504" spans="7:7" ht="13">
      <c r="G504" s="34"/>
    </row>
    <row r="505" spans="7:7" ht="13">
      <c r="G505" s="34"/>
    </row>
    <row r="506" spans="7:7" ht="13">
      <c r="G506" s="34"/>
    </row>
    <row r="507" spans="7:7" ht="13">
      <c r="G507" s="34"/>
    </row>
    <row r="508" spans="7:7" ht="13">
      <c r="G508" s="34"/>
    </row>
    <row r="509" spans="7:7" ht="13">
      <c r="G509" s="34"/>
    </row>
    <row r="510" spans="7:7" ht="13">
      <c r="G510" s="34"/>
    </row>
    <row r="511" spans="7:7" ht="13">
      <c r="G511" s="34"/>
    </row>
    <row r="512" spans="7:7" ht="13">
      <c r="G512" s="34"/>
    </row>
    <row r="513" spans="7:7" ht="13">
      <c r="G513" s="34"/>
    </row>
    <row r="514" spans="7:7" ht="13">
      <c r="G514" s="34"/>
    </row>
    <row r="515" spans="7:7" ht="13">
      <c r="G515" s="34"/>
    </row>
    <row r="516" spans="7:7" ht="13">
      <c r="G516" s="34"/>
    </row>
    <row r="517" spans="7:7" ht="13">
      <c r="G517" s="34"/>
    </row>
    <row r="518" spans="7:7" ht="13">
      <c r="G518" s="34"/>
    </row>
    <row r="519" spans="7:7" ht="13">
      <c r="G519" s="34"/>
    </row>
    <row r="520" spans="7:7" ht="13">
      <c r="G520" s="34"/>
    </row>
    <row r="521" spans="7:7" ht="13">
      <c r="G521" s="34"/>
    </row>
    <row r="522" spans="7:7" ht="13">
      <c r="G522" s="34"/>
    </row>
    <row r="523" spans="7:7" ht="13">
      <c r="G523" s="34"/>
    </row>
    <row r="524" spans="7:7" ht="13">
      <c r="G524" s="34"/>
    </row>
    <row r="525" spans="7:7" ht="13">
      <c r="G525" s="34"/>
    </row>
    <row r="526" spans="7:7" ht="13">
      <c r="G526" s="34"/>
    </row>
    <row r="527" spans="7:7" ht="13">
      <c r="G527" s="34"/>
    </row>
    <row r="528" spans="7:7" ht="13">
      <c r="G528" s="34"/>
    </row>
    <row r="529" spans="7:7" ht="13">
      <c r="G529" s="34"/>
    </row>
    <row r="530" spans="7:7" ht="13">
      <c r="G530" s="34"/>
    </row>
    <row r="531" spans="7:7" ht="13">
      <c r="G531" s="34"/>
    </row>
    <row r="532" spans="7:7" ht="13">
      <c r="G532" s="34"/>
    </row>
    <row r="533" spans="7:7" ht="13">
      <c r="G533" s="34"/>
    </row>
    <row r="534" spans="7:7" ht="13">
      <c r="G534" s="34"/>
    </row>
    <row r="535" spans="7:7" ht="13">
      <c r="G535" s="34"/>
    </row>
    <row r="536" spans="7:7" ht="13">
      <c r="G536" s="34"/>
    </row>
    <row r="537" spans="7:7" ht="13">
      <c r="G537" s="34"/>
    </row>
    <row r="538" spans="7:7" ht="13">
      <c r="G538" s="34"/>
    </row>
    <row r="539" spans="7:7" ht="13">
      <c r="G539" s="34"/>
    </row>
    <row r="540" spans="7:7" ht="13">
      <c r="G540" s="34"/>
    </row>
    <row r="541" spans="7:7" ht="13">
      <c r="G541" s="34"/>
    </row>
    <row r="542" spans="7:7" ht="13">
      <c r="G542" s="34"/>
    </row>
    <row r="543" spans="7:7" ht="13">
      <c r="G543" s="34"/>
    </row>
    <row r="544" spans="7:7" ht="13">
      <c r="G544" s="34"/>
    </row>
    <row r="545" spans="7:7" ht="13">
      <c r="G545" s="34"/>
    </row>
    <row r="546" spans="7:7" ht="13">
      <c r="G546" s="34"/>
    </row>
    <row r="547" spans="7:7" ht="13">
      <c r="G547" s="34"/>
    </row>
    <row r="548" spans="7:7" ht="13">
      <c r="G548" s="34"/>
    </row>
    <row r="549" spans="7:7" ht="13">
      <c r="G549" s="34"/>
    </row>
    <row r="550" spans="7:7" ht="13">
      <c r="G550" s="34"/>
    </row>
    <row r="551" spans="7:7" ht="13">
      <c r="G551" s="34"/>
    </row>
    <row r="552" spans="7:7" ht="13">
      <c r="G552" s="34"/>
    </row>
    <row r="553" spans="7:7" ht="13">
      <c r="G553" s="34"/>
    </row>
    <row r="554" spans="7:7" ht="13">
      <c r="G554" s="34"/>
    </row>
    <row r="555" spans="7:7" ht="13">
      <c r="G555" s="34"/>
    </row>
    <row r="556" spans="7:7" ht="13">
      <c r="G556" s="34"/>
    </row>
    <row r="557" spans="7:7" ht="13">
      <c r="G557" s="34"/>
    </row>
    <row r="558" spans="7:7" ht="13">
      <c r="G558" s="34"/>
    </row>
    <row r="559" spans="7:7" ht="13">
      <c r="G559" s="34"/>
    </row>
    <row r="560" spans="7:7" ht="13">
      <c r="G560" s="34"/>
    </row>
    <row r="561" spans="7:7" ht="13">
      <c r="G561" s="34"/>
    </row>
    <row r="562" spans="7:7" ht="13">
      <c r="G562" s="34"/>
    </row>
    <row r="563" spans="7:7" ht="13">
      <c r="G563" s="34"/>
    </row>
    <row r="564" spans="7:7" ht="13">
      <c r="G564" s="34"/>
    </row>
    <row r="565" spans="7:7" ht="13">
      <c r="G565" s="34"/>
    </row>
    <row r="566" spans="7:7" ht="13">
      <c r="G566" s="34"/>
    </row>
    <row r="567" spans="7:7" ht="13">
      <c r="G567" s="34"/>
    </row>
    <row r="568" spans="7:7" ht="13">
      <c r="G568" s="34"/>
    </row>
    <row r="569" spans="7:7" ht="13">
      <c r="G569" s="34"/>
    </row>
    <row r="570" spans="7:7" ht="13">
      <c r="G570" s="34"/>
    </row>
    <row r="571" spans="7:7" ht="13">
      <c r="G571" s="34"/>
    </row>
    <row r="572" spans="7:7" ht="13">
      <c r="G572" s="34"/>
    </row>
    <row r="573" spans="7:7" ht="13">
      <c r="G573" s="34"/>
    </row>
    <row r="574" spans="7:7" ht="13">
      <c r="G574" s="34"/>
    </row>
    <row r="575" spans="7:7" ht="13">
      <c r="G575" s="34"/>
    </row>
    <row r="576" spans="7:7" ht="13">
      <c r="G576" s="34"/>
    </row>
    <row r="577" spans="7:7" ht="13">
      <c r="G577" s="34"/>
    </row>
    <row r="578" spans="7:7" ht="13">
      <c r="G578" s="34"/>
    </row>
    <row r="579" spans="7:7" ht="13">
      <c r="G579" s="34"/>
    </row>
    <row r="580" spans="7:7" ht="13">
      <c r="G580" s="34"/>
    </row>
    <row r="581" spans="7:7" ht="13">
      <c r="G581" s="34"/>
    </row>
    <row r="582" spans="7:7" ht="13">
      <c r="G582" s="34"/>
    </row>
    <row r="583" spans="7:7" ht="13">
      <c r="G583" s="34"/>
    </row>
    <row r="584" spans="7:7" ht="13">
      <c r="G584" s="34"/>
    </row>
    <row r="585" spans="7:7" ht="13">
      <c r="G585" s="34"/>
    </row>
    <row r="586" spans="7:7" ht="13">
      <c r="G586" s="34"/>
    </row>
    <row r="587" spans="7:7" ht="13">
      <c r="G587" s="34"/>
    </row>
    <row r="588" spans="7:7" ht="13">
      <c r="G588" s="34"/>
    </row>
    <row r="589" spans="7:7" ht="13">
      <c r="G589" s="34"/>
    </row>
    <row r="590" spans="7:7" ht="13">
      <c r="G590" s="34"/>
    </row>
    <row r="591" spans="7:7" ht="13">
      <c r="G591" s="34"/>
    </row>
    <row r="592" spans="7:7" ht="13">
      <c r="G592" s="34"/>
    </row>
    <row r="593" spans="7:7" ht="13">
      <c r="G593" s="34"/>
    </row>
    <row r="594" spans="7:7" ht="13">
      <c r="G594" s="34"/>
    </row>
    <row r="595" spans="7:7" ht="13">
      <c r="G595" s="34"/>
    </row>
    <row r="596" spans="7:7" ht="13">
      <c r="G596" s="34"/>
    </row>
    <row r="597" spans="7:7" ht="13">
      <c r="G597" s="34"/>
    </row>
    <row r="598" spans="7:7" ht="13">
      <c r="G598" s="34"/>
    </row>
    <row r="599" spans="7:7" ht="13">
      <c r="G599" s="34"/>
    </row>
    <row r="600" spans="7:7" ht="13">
      <c r="G600" s="34"/>
    </row>
    <row r="601" spans="7:7" ht="13">
      <c r="G601" s="34"/>
    </row>
    <row r="602" spans="7:7" ht="13">
      <c r="G602" s="34"/>
    </row>
    <row r="603" spans="7:7" ht="13">
      <c r="G603" s="34"/>
    </row>
    <row r="604" spans="7:7" ht="13">
      <c r="G604" s="34"/>
    </row>
    <row r="605" spans="7:7" ht="13">
      <c r="G605" s="34"/>
    </row>
    <row r="606" spans="7:7" ht="13">
      <c r="G606" s="34"/>
    </row>
    <row r="607" spans="7:7" ht="13">
      <c r="G607" s="34"/>
    </row>
    <row r="608" spans="7:7" ht="13">
      <c r="G608" s="34"/>
    </row>
    <row r="609" spans="7:7" ht="13">
      <c r="G609" s="34"/>
    </row>
    <row r="610" spans="7:7" ht="13">
      <c r="G610" s="34"/>
    </row>
    <row r="611" spans="7:7" ht="13">
      <c r="G611" s="34"/>
    </row>
    <row r="612" spans="7:7" ht="13">
      <c r="G612" s="34"/>
    </row>
    <row r="613" spans="7:7" ht="13">
      <c r="G613" s="34"/>
    </row>
    <row r="614" spans="7:7" ht="13">
      <c r="G614" s="34"/>
    </row>
    <row r="615" spans="7:7" ht="13">
      <c r="G615" s="34"/>
    </row>
    <row r="616" spans="7:7" ht="13">
      <c r="G616" s="34"/>
    </row>
    <row r="617" spans="7:7" ht="13">
      <c r="G617" s="34"/>
    </row>
    <row r="618" spans="7:7" ht="13">
      <c r="G618" s="34"/>
    </row>
    <row r="619" spans="7:7" ht="13">
      <c r="G619" s="34"/>
    </row>
    <row r="620" spans="7:7" ht="13">
      <c r="G620" s="34"/>
    </row>
    <row r="621" spans="7:7" ht="13">
      <c r="G621" s="34"/>
    </row>
    <row r="622" spans="7:7" ht="13">
      <c r="G622" s="34"/>
    </row>
    <row r="623" spans="7:7" ht="13">
      <c r="G623" s="34"/>
    </row>
    <row r="624" spans="7:7" ht="13">
      <c r="G624" s="34"/>
    </row>
    <row r="625" spans="7:7" ht="13">
      <c r="G625" s="34"/>
    </row>
    <row r="626" spans="7:7" ht="13">
      <c r="G626" s="34"/>
    </row>
    <row r="627" spans="7:7" ht="13">
      <c r="G627" s="34"/>
    </row>
    <row r="628" spans="7:7" ht="13">
      <c r="G628" s="34"/>
    </row>
    <row r="629" spans="7:7" ht="13">
      <c r="G629" s="34"/>
    </row>
    <row r="630" spans="7:7" ht="13">
      <c r="G630" s="34"/>
    </row>
    <row r="631" spans="7:7" ht="13">
      <c r="G631" s="34"/>
    </row>
    <row r="632" spans="7:7" ht="13">
      <c r="G632" s="34"/>
    </row>
    <row r="633" spans="7:7" ht="13">
      <c r="G633" s="34"/>
    </row>
    <row r="634" spans="7:7" ht="13">
      <c r="G634" s="34"/>
    </row>
    <row r="635" spans="7:7" ht="13">
      <c r="G635" s="34"/>
    </row>
    <row r="636" spans="7:7" ht="13">
      <c r="G636" s="34"/>
    </row>
    <row r="637" spans="7:7" ht="13">
      <c r="G637" s="34"/>
    </row>
    <row r="638" spans="7:7" ht="13">
      <c r="G638" s="34"/>
    </row>
    <row r="639" spans="7:7" ht="13">
      <c r="G639" s="34"/>
    </row>
    <row r="640" spans="7:7" ht="13">
      <c r="G640" s="34"/>
    </row>
    <row r="641" spans="7:7" ht="13">
      <c r="G641" s="34"/>
    </row>
    <row r="642" spans="7:7" ht="13">
      <c r="G642" s="34"/>
    </row>
    <row r="643" spans="7:7" ht="13">
      <c r="G643" s="34"/>
    </row>
    <row r="644" spans="7:7" ht="13">
      <c r="G644" s="34"/>
    </row>
    <row r="645" spans="7:7" ht="13">
      <c r="G645" s="34"/>
    </row>
    <row r="646" spans="7:7" ht="13">
      <c r="G646" s="34"/>
    </row>
    <row r="647" spans="7:7" ht="13">
      <c r="G647" s="34"/>
    </row>
    <row r="648" spans="7:7" ht="13">
      <c r="G648" s="34"/>
    </row>
    <row r="649" spans="7:7" ht="13">
      <c r="G649" s="34"/>
    </row>
    <row r="650" spans="7:7" ht="13">
      <c r="G650" s="34"/>
    </row>
    <row r="651" spans="7:7" ht="13">
      <c r="G651" s="34"/>
    </row>
    <row r="652" spans="7:7" ht="13">
      <c r="G652" s="34"/>
    </row>
    <row r="653" spans="7:7" ht="13">
      <c r="G653" s="34"/>
    </row>
    <row r="654" spans="7:7" ht="13">
      <c r="G654" s="34"/>
    </row>
    <row r="655" spans="7:7" ht="13">
      <c r="G655" s="34"/>
    </row>
    <row r="656" spans="7:7" ht="13">
      <c r="G656" s="34"/>
    </row>
    <row r="657" spans="7:7" ht="13">
      <c r="G657" s="34"/>
    </row>
    <row r="658" spans="7:7" ht="13">
      <c r="G658" s="34"/>
    </row>
    <row r="659" spans="7:7" ht="13">
      <c r="G659" s="34"/>
    </row>
    <row r="660" spans="7:7" ht="13">
      <c r="G660" s="34"/>
    </row>
    <row r="661" spans="7:7" ht="13">
      <c r="G661" s="34"/>
    </row>
    <row r="662" spans="7:7" ht="13">
      <c r="G662" s="34"/>
    </row>
    <row r="663" spans="7:7" ht="13">
      <c r="G663" s="34"/>
    </row>
    <row r="664" spans="7:7" ht="13">
      <c r="G664" s="34"/>
    </row>
    <row r="665" spans="7:7" ht="13">
      <c r="G665" s="34"/>
    </row>
    <row r="666" spans="7:7" ht="13">
      <c r="G666" s="34"/>
    </row>
    <row r="667" spans="7:7" ht="13">
      <c r="G667" s="34"/>
    </row>
    <row r="668" spans="7:7" ht="13">
      <c r="G668" s="34"/>
    </row>
    <row r="669" spans="7:7" ht="13">
      <c r="G669" s="34"/>
    </row>
    <row r="670" spans="7:7" ht="13">
      <c r="G670" s="34"/>
    </row>
    <row r="671" spans="7:7" ht="13">
      <c r="G671" s="34"/>
    </row>
    <row r="672" spans="7:7" ht="13">
      <c r="G672" s="34"/>
    </row>
    <row r="673" spans="7:7" ht="13">
      <c r="G673" s="34"/>
    </row>
    <row r="674" spans="7:7" ht="13">
      <c r="G674" s="34"/>
    </row>
    <row r="675" spans="7:7" ht="13">
      <c r="G675" s="34"/>
    </row>
    <row r="676" spans="7:7" ht="13">
      <c r="G676" s="34"/>
    </row>
    <row r="677" spans="7:7" ht="13">
      <c r="G677" s="34"/>
    </row>
    <row r="678" spans="7:7" ht="13">
      <c r="G678" s="34"/>
    </row>
    <row r="679" spans="7:7" ht="13">
      <c r="G679" s="34"/>
    </row>
    <row r="680" spans="7:7" ht="13">
      <c r="G680" s="34"/>
    </row>
    <row r="681" spans="7:7" ht="13">
      <c r="G681" s="34"/>
    </row>
    <row r="682" spans="7:7" ht="13">
      <c r="G682" s="34"/>
    </row>
    <row r="683" spans="7:7" ht="13">
      <c r="G683" s="34"/>
    </row>
    <row r="684" spans="7:7" ht="13">
      <c r="G684" s="34"/>
    </row>
    <row r="685" spans="7:7" ht="13">
      <c r="G685" s="34"/>
    </row>
    <row r="686" spans="7:7" ht="13">
      <c r="G686" s="34"/>
    </row>
    <row r="687" spans="7:7" ht="13">
      <c r="G687" s="34"/>
    </row>
    <row r="688" spans="7:7" ht="13">
      <c r="G688" s="34"/>
    </row>
    <row r="689" spans="7:7" ht="13">
      <c r="G689" s="34"/>
    </row>
    <row r="690" spans="7:7" ht="13">
      <c r="G690" s="34"/>
    </row>
    <row r="691" spans="7:7" ht="13">
      <c r="G691" s="34"/>
    </row>
    <row r="692" spans="7:7" ht="13">
      <c r="G692" s="34"/>
    </row>
    <row r="693" spans="7:7" ht="13">
      <c r="G693" s="34"/>
    </row>
    <row r="694" spans="7:7" ht="13">
      <c r="G694" s="34"/>
    </row>
    <row r="695" spans="7:7" ht="13">
      <c r="G695" s="34"/>
    </row>
    <row r="696" spans="7:7" ht="13">
      <c r="G696" s="34"/>
    </row>
    <row r="697" spans="7:7" ht="13">
      <c r="G697" s="34"/>
    </row>
    <row r="698" spans="7:7" ht="13">
      <c r="G698" s="34"/>
    </row>
    <row r="699" spans="7:7" ht="13">
      <c r="G699" s="34"/>
    </row>
    <row r="700" spans="7:7" ht="13">
      <c r="G700" s="34"/>
    </row>
    <row r="701" spans="7:7" ht="13">
      <c r="G701" s="34"/>
    </row>
    <row r="702" spans="7:7" ht="13">
      <c r="G702" s="34"/>
    </row>
    <row r="703" spans="7:7" ht="13">
      <c r="G703" s="34"/>
    </row>
    <row r="704" spans="7:7" ht="13">
      <c r="G704" s="34"/>
    </row>
    <row r="705" spans="7:7" ht="13">
      <c r="G705" s="34"/>
    </row>
    <row r="706" spans="7:7" ht="13">
      <c r="G706" s="34"/>
    </row>
    <row r="707" spans="7:7" ht="13">
      <c r="G707" s="34"/>
    </row>
    <row r="708" spans="7:7" ht="13">
      <c r="G708" s="34"/>
    </row>
    <row r="709" spans="7:7" ht="13">
      <c r="G709" s="34"/>
    </row>
    <row r="710" spans="7:7" ht="13">
      <c r="G710" s="34"/>
    </row>
    <row r="711" spans="7:7" ht="13">
      <c r="G711" s="34"/>
    </row>
    <row r="712" spans="7:7" ht="13">
      <c r="G712" s="34"/>
    </row>
    <row r="713" spans="7:7" ht="13">
      <c r="G713" s="34"/>
    </row>
    <row r="714" spans="7:7" ht="13">
      <c r="G714" s="34"/>
    </row>
    <row r="715" spans="7:7" ht="13">
      <c r="G715" s="34"/>
    </row>
    <row r="716" spans="7:7" ht="13">
      <c r="G716" s="34"/>
    </row>
    <row r="717" spans="7:7" ht="13">
      <c r="G717" s="34"/>
    </row>
    <row r="718" spans="7:7" ht="13">
      <c r="G718" s="34"/>
    </row>
    <row r="719" spans="7:7" ht="13">
      <c r="G719" s="34"/>
    </row>
    <row r="720" spans="7:7" ht="13">
      <c r="G720" s="34"/>
    </row>
    <row r="721" spans="7:7" ht="13">
      <c r="G721" s="34"/>
    </row>
    <row r="722" spans="7:7" ht="13">
      <c r="G722" s="34"/>
    </row>
    <row r="723" spans="7:7" ht="13">
      <c r="G723" s="34"/>
    </row>
    <row r="724" spans="7:7" ht="13">
      <c r="G724" s="34"/>
    </row>
    <row r="725" spans="7:7" ht="13">
      <c r="G725" s="34"/>
    </row>
    <row r="726" spans="7:7" ht="13">
      <c r="G726" s="34"/>
    </row>
    <row r="727" spans="7:7" ht="13">
      <c r="G727" s="34"/>
    </row>
    <row r="728" spans="7:7" ht="13">
      <c r="G728" s="34"/>
    </row>
    <row r="729" spans="7:7" ht="13">
      <c r="G729" s="34"/>
    </row>
    <row r="730" spans="7:7" ht="13">
      <c r="G730" s="34"/>
    </row>
    <row r="731" spans="7:7" ht="13">
      <c r="G731" s="34"/>
    </row>
    <row r="732" spans="7:7" ht="13">
      <c r="G732" s="34"/>
    </row>
    <row r="733" spans="7:7" ht="13">
      <c r="G733" s="34"/>
    </row>
    <row r="734" spans="7:7" ht="13">
      <c r="G734" s="34"/>
    </row>
    <row r="735" spans="7:7" ht="13">
      <c r="G735" s="34"/>
    </row>
    <row r="736" spans="7:7" ht="13">
      <c r="G736" s="34"/>
    </row>
    <row r="737" spans="7:7" ht="13">
      <c r="G737" s="34"/>
    </row>
    <row r="738" spans="7:7" ht="13">
      <c r="G738" s="34"/>
    </row>
    <row r="739" spans="7:7" ht="13">
      <c r="G739" s="34"/>
    </row>
    <row r="740" spans="7:7" ht="13">
      <c r="G740" s="34"/>
    </row>
    <row r="741" spans="7:7" ht="13">
      <c r="G741" s="34"/>
    </row>
    <row r="742" spans="7:7" ht="13">
      <c r="G742" s="34"/>
    </row>
    <row r="743" spans="7:7" ht="13">
      <c r="G743" s="34"/>
    </row>
    <row r="744" spans="7:7" ht="13">
      <c r="G744" s="34"/>
    </row>
    <row r="745" spans="7:7" ht="13">
      <c r="G745" s="34"/>
    </row>
    <row r="746" spans="7:7" ht="13">
      <c r="G746" s="34"/>
    </row>
    <row r="747" spans="7:7" ht="13">
      <c r="G747" s="34"/>
    </row>
    <row r="748" spans="7:7" ht="13">
      <c r="G748" s="34"/>
    </row>
    <row r="749" spans="7:7" ht="13">
      <c r="G749" s="34"/>
    </row>
    <row r="750" spans="7:7" ht="13">
      <c r="G750" s="34"/>
    </row>
    <row r="751" spans="7:7" ht="13">
      <c r="G751" s="34"/>
    </row>
    <row r="752" spans="7:7" ht="13">
      <c r="G752" s="34"/>
    </row>
    <row r="753" spans="7:7" ht="13">
      <c r="G753" s="34"/>
    </row>
    <row r="754" spans="7:7" ht="13">
      <c r="G754" s="34"/>
    </row>
    <row r="755" spans="7:7" ht="13">
      <c r="G755" s="34"/>
    </row>
    <row r="756" spans="7:7" ht="13">
      <c r="G756" s="34"/>
    </row>
    <row r="757" spans="7:7" ht="13">
      <c r="G757" s="34"/>
    </row>
    <row r="758" spans="7:7" ht="13">
      <c r="G758" s="34"/>
    </row>
    <row r="759" spans="7:7" ht="13">
      <c r="G759" s="34"/>
    </row>
    <row r="760" spans="7:7" ht="13">
      <c r="G760" s="34"/>
    </row>
    <row r="761" spans="7:7" ht="13">
      <c r="G761" s="34"/>
    </row>
    <row r="762" spans="7:7" ht="13">
      <c r="G762" s="34"/>
    </row>
    <row r="763" spans="7:7" ht="13">
      <c r="G763" s="34"/>
    </row>
    <row r="764" spans="7:7" ht="13">
      <c r="G764" s="34"/>
    </row>
    <row r="765" spans="7:7" ht="13">
      <c r="G765" s="34"/>
    </row>
    <row r="766" spans="7:7" ht="13">
      <c r="G766" s="34"/>
    </row>
    <row r="767" spans="7:7" ht="13">
      <c r="G767" s="34"/>
    </row>
    <row r="768" spans="7:7" ht="13">
      <c r="G768" s="34"/>
    </row>
    <row r="769" spans="7:7" ht="13">
      <c r="G769" s="34"/>
    </row>
    <row r="770" spans="7:7" ht="13">
      <c r="G770" s="34"/>
    </row>
    <row r="771" spans="7:7" ht="13">
      <c r="G771" s="34"/>
    </row>
    <row r="772" spans="7:7" ht="13">
      <c r="G772" s="34"/>
    </row>
    <row r="773" spans="7:7" ht="13">
      <c r="G773" s="34"/>
    </row>
    <row r="774" spans="7:7" ht="13">
      <c r="G774" s="34"/>
    </row>
    <row r="775" spans="7:7" ht="13">
      <c r="G775" s="34"/>
    </row>
    <row r="776" spans="7:7" ht="13">
      <c r="G776" s="34"/>
    </row>
    <row r="777" spans="7:7" ht="13">
      <c r="G777" s="34"/>
    </row>
    <row r="778" spans="7:7" ht="13">
      <c r="G778" s="34"/>
    </row>
    <row r="779" spans="7:7" ht="13">
      <c r="G779" s="34"/>
    </row>
    <row r="780" spans="7:7" ht="13">
      <c r="G780" s="34"/>
    </row>
    <row r="781" spans="7:7" ht="13">
      <c r="G781" s="34"/>
    </row>
    <row r="782" spans="7:7" ht="13">
      <c r="G782" s="34"/>
    </row>
    <row r="783" spans="7:7" ht="13">
      <c r="G783" s="34"/>
    </row>
    <row r="784" spans="7:7" ht="13">
      <c r="G784" s="34"/>
    </row>
    <row r="785" spans="7:7" ht="13">
      <c r="G785" s="34"/>
    </row>
    <row r="786" spans="7:7" ht="13">
      <c r="G786" s="34"/>
    </row>
    <row r="787" spans="7:7" ht="13">
      <c r="G787" s="34"/>
    </row>
    <row r="788" spans="7:7" ht="13">
      <c r="G788" s="34"/>
    </row>
    <row r="789" spans="7:7" ht="13">
      <c r="G789" s="34"/>
    </row>
    <row r="790" spans="7:7" ht="13">
      <c r="G790" s="34"/>
    </row>
    <row r="791" spans="7:7" ht="13">
      <c r="G791" s="34"/>
    </row>
    <row r="792" spans="7:7" ht="13">
      <c r="G792" s="34"/>
    </row>
    <row r="793" spans="7:7" ht="13">
      <c r="G793" s="34"/>
    </row>
    <row r="794" spans="7:7" ht="13">
      <c r="G794" s="34"/>
    </row>
    <row r="795" spans="7:7" ht="13">
      <c r="G795" s="34"/>
    </row>
    <row r="796" spans="7:7" ht="13">
      <c r="G796" s="34"/>
    </row>
    <row r="797" spans="7:7" ht="13">
      <c r="G797" s="34"/>
    </row>
    <row r="798" spans="7:7" ht="13">
      <c r="G798" s="34"/>
    </row>
    <row r="799" spans="7:7" ht="13">
      <c r="G799" s="34"/>
    </row>
    <row r="800" spans="7:7" ht="13">
      <c r="G800" s="34"/>
    </row>
    <row r="801" spans="7:7" ht="13">
      <c r="G801" s="34"/>
    </row>
    <row r="802" spans="7:7" ht="13">
      <c r="G802" s="34"/>
    </row>
    <row r="803" spans="7:7" ht="13">
      <c r="G803" s="34"/>
    </row>
    <row r="804" spans="7:7" ht="13">
      <c r="G804" s="34"/>
    </row>
    <row r="805" spans="7:7" ht="13">
      <c r="G805" s="34"/>
    </row>
    <row r="806" spans="7:7" ht="13">
      <c r="G806" s="34"/>
    </row>
    <row r="807" spans="7:7" ht="13">
      <c r="G807" s="34"/>
    </row>
    <row r="808" spans="7:7" ht="13">
      <c r="G808" s="34"/>
    </row>
    <row r="809" spans="7:7" ht="13">
      <c r="G809" s="34"/>
    </row>
    <row r="810" spans="7:7" ht="13">
      <c r="G810" s="34"/>
    </row>
    <row r="811" spans="7:7" ht="13">
      <c r="G811" s="34"/>
    </row>
    <row r="812" spans="7:7" ht="13">
      <c r="G812" s="34"/>
    </row>
    <row r="813" spans="7:7" ht="13">
      <c r="G813" s="34"/>
    </row>
    <row r="814" spans="7:7" ht="13">
      <c r="G814" s="34"/>
    </row>
    <row r="815" spans="7:7" ht="13">
      <c r="G815" s="34"/>
    </row>
    <row r="816" spans="7:7" ht="13">
      <c r="G816" s="34"/>
    </row>
    <row r="817" spans="7:7" ht="13">
      <c r="G817" s="34"/>
    </row>
    <row r="818" spans="7:7" ht="13">
      <c r="G818" s="34"/>
    </row>
    <row r="819" spans="7:7" ht="13">
      <c r="G819" s="34"/>
    </row>
    <row r="820" spans="7:7" ht="13">
      <c r="G820" s="34"/>
    </row>
    <row r="821" spans="7:7" ht="13">
      <c r="G821" s="34"/>
    </row>
    <row r="822" spans="7:7" ht="13">
      <c r="G822" s="34"/>
    </row>
    <row r="823" spans="7:7" ht="13">
      <c r="G823" s="34"/>
    </row>
    <row r="824" spans="7:7" ht="13">
      <c r="G824" s="34"/>
    </row>
    <row r="825" spans="7:7" ht="13">
      <c r="G825" s="34"/>
    </row>
    <row r="826" spans="7:7" ht="13">
      <c r="G826" s="34"/>
    </row>
    <row r="827" spans="7:7" ht="13">
      <c r="G827" s="34"/>
    </row>
    <row r="828" spans="7:7" ht="13">
      <c r="G828" s="34"/>
    </row>
    <row r="829" spans="7:7" ht="13">
      <c r="G829" s="34"/>
    </row>
    <row r="830" spans="7:7" ht="13">
      <c r="G830" s="34"/>
    </row>
    <row r="831" spans="7:7" ht="13">
      <c r="G831" s="34"/>
    </row>
    <row r="832" spans="7:7" ht="13">
      <c r="G832" s="34"/>
    </row>
    <row r="833" spans="7:7" ht="13">
      <c r="G833" s="34"/>
    </row>
    <row r="834" spans="7:7" ht="13">
      <c r="G834" s="34"/>
    </row>
    <row r="835" spans="7:7" ht="13">
      <c r="G835" s="34"/>
    </row>
    <row r="836" spans="7:7" ht="13">
      <c r="G836" s="34"/>
    </row>
    <row r="837" spans="7:7" ht="13">
      <c r="G837" s="34"/>
    </row>
    <row r="838" spans="7:7" ht="13">
      <c r="G838" s="34"/>
    </row>
    <row r="839" spans="7:7" ht="13">
      <c r="G839" s="34"/>
    </row>
    <row r="840" spans="7:7" ht="13">
      <c r="G840" s="34"/>
    </row>
    <row r="841" spans="7:7" ht="13">
      <c r="G841" s="34"/>
    </row>
    <row r="842" spans="7:7" ht="13">
      <c r="G842" s="34"/>
    </row>
    <row r="843" spans="7:7" ht="13">
      <c r="G843" s="34"/>
    </row>
    <row r="844" spans="7:7" ht="13">
      <c r="G844" s="34"/>
    </row>
    <row r="845" spans="7:7" ht="13">
      <c r="G845" s="34"/>
    </row>
    <row r="846" spans="7:7" ht="13">
      <c r="G846" s="34"/>
    </row>
    <row r="847" spans="7:7" ht="13">
      <c r="G847" s="34"/>
    </row>
    <row r="848" spans="7:7" ht="13">
      <c r="G848" s="34"/>
    </row>
    <row r="849" spans="7:7" ht="13">
      <c r="G849" s="34"/>
    </row>
    <row r="850" spans="7:7" ht="13">
      <c r="G850" s="34"/>
    </row>
    <row r="851" spans="7:7" ht="13">
      <c r="G851" s="34"/>
    </row>
    <row r="852" spans="7:7" ht="13">
      <c r="G852" s="34"/>
    </row>
    <row r="853" spans="7:7" ht="13">
      <c r="G853" s="34"/>
    </row>
    <row r="854" spans="7:7" ht="13">
      <c r="G854" s="34"/>
    </row>
    <row r="855" spans="7:7" ht="13">
      <c r="G855" s="34"/>
    </row>
    <row r="856" spans="7:7" ht="13">
      <c r="G856" s="34"/>
    </row>
    <row r="857" spans="7:7" ht="13">
      <c r="G857" s="34"/>
    </row>
    <row r="858" spans="7:7" ht="13">
      <c r="G858" s="34"/>
    </row>
    <row r="859" spans="7:7" ht="13">
      <c r="G859" s="34"/>
    </row>
    <row r="860" spans="7:7" ht="13">
      <c r="G860" s="34"/>
    </row>
    <row r="861" spans="7:7" ht="13">
      <c r="G861" s="34"/>
    </row>
    <row r="862" spans="7:7" ht="13">
      <c r="G862" s="34"/>
    </row>
    <row r="863" spans="7:7" ht="13">
      <c r="G863" s="34"/>
    </row>
    <row r="864" spans="7:7" ht="13">
      <c r="G864" s="34"/>
    </row>
    <row r="865" spans="7:7" ht="13">
      <c r="G865" s="34"/>
    </row>
    <row r="866" spans="7:7" ht="13">
      <c r="G866" s="34"/>
    </row>
    <row r="867" spans="7:7" ht="13">
      <c r="G867" s="34"/>
    </row>
    <row r="868" spans="7:7" ht="13">
      <c r="G868" s="34"/>
    </row>
    <row r="869" spans="7:7" ht="13">
      <c r="G869" s="34"/>
    </row>
    <row r="870" spans="7:7" ht="13">
      <c r="G870" s="34"/>
    </row>
    <row r="871" spans="7:7" ht="13">
      <c r="G871" s="34"/>
    </row>
    <row r="872" spans="7:7" ht="13">
      <c r="G872" s="34"/>
    </row>
    <row r="873" spans="7:7" ht="13">
      <c r="G873" s="34"/>
    </row>
    <row r="874" spans="7:7" ht="13">
      <c r="G874" s="34"/>
    </row>
    <row r="875" spans="7:7" ht="13">
      <c r="G875" s="34"/>
    </row>
    <row r="876" spans="7:7" ht="13">
      <c r="G876" s="34"/>
    </row>
    <row r="877" spans="7:7" ht="13">
      <c r="G877" s="34"/>
    </row>
    <row r="878" spans="7:7" ht="13">
      <c r="G878" s="34"/>
    </row>
    <row r="879" spans="7:7" ht="13">
      <c r="G879" s="34"/>
    </row>
    <row r="880" spans="7:7" ht="13">
      <c r="G880" s="34"/>
    </row>
    <row r="881" spans="7:7" ht="13">
      <c r="G881" s="34"/>
    </row>
    <row r="882" spans="7:7" ht="13">
      <c r="G882" s="34"/>
    </row>
    <row r="883" spans="7:7" ht="13">
      <c r="G883" s="34"/>
    </row>
    <row r="884" spans="7:7" ht="13">
      <c r="G884" s="34"/>
    </row>
    <row r="885" spans="7:7" ht="13">
      <c r="G885" s="34"/>
    </row>
    <row r="886" spans="7:7" ht="13">
      <c r="G886" s="34"/>
    </row>
    <row r="887" spans="7:7" ht="13">
      <c r="G887" s="34"/>
    </row>
    <row r="888" spans="7:7" ht="13">
      <c r="G888" s="34"/>
    </row>
    <row r="889" spans="7:7" ht="13">
      <c r="G889" s="34"/>
    </row>
    <row r="890" spans="7:7" ht="13">
      <c r="G890" s="34"/>
    </row>
    <row r="891" spans="7:7" ht="13">
      <c r="G891" s="34"/>
    </row>
    <row r="892" spans="7:7" ht="13">
      <c r="G892" s="34"/>
    </row>
    <row r="893" spans="7:7" ht="13">
      <c r="G893" s="34"/>
    </row>
    <row r="894" spans="7:7" ht="13">
      <c r="G894" s="34"/>
    </row>
    <row r="895" spans="7:7" ht="13">
      <c r="G895" s="34"/>
    </row>
    <row r="896" spans="7:7" ht="13">
      <c r="G896" s="34"/>
    </row>
    <row r="897" spans="7:7" ht="13">
      <c r="G897" s="34"/>
    </row>
    <row r="898" spans="7:7" ht="13">
      <c r="G898" s="34"/>
    </row>
    <row r="899" spans="7:7" ht="13">
      <c r="G899" s="34"/>
    </row>
    <row r="900" spans="7:7" ht="13">
      <c r="G900" s="34"/>
    </row>
    <row r="901" spans="7:7" ht="13">
      <c r="G901" s="34"/>
    </row>
    <row r="902" spans="7:7" ht="13">
      <c r="G902" s="34"/>
    </row>
    <row r="903" spans="7:7" ht="13">
      <c r="G903" s="34"/>
    </row>
    <row r="904" spans="7:7" ht="13">
      <c r="G904" s="34"/>
    </row>
    <row r="905" spans="7:7" ht="13">
      <c r="G905" s="34"/>
    </row>
    <row r="906" spans="7:7" ht="13">
      <c r="G906" s="34"/>
    </row>
    <row r="907" spans="7:7" ht="13">
      <c r="G907" s="34"/>
    </row>
    <row r="908" spans="7:7" ht="13">
      <c r="G908" s="34"/>
    </row>
    <row r="909" spans="7:7" ht="13">
      <c r="G909" s="34"/>
    </row>
    <row r="910" spans="7:7" ht="13">
      <c r="G910" s="34"/>
    </row>
    <row r="911" spans="7:7" ht="13">
      <c r="G911" s="34"/>
    </row>
    <row r="912" spans="7:7" ht="13">
      <c r="G912" s="34"/>
    </row>
    <row r="913" spans="7:7" ht="13">
      <c r="G913" s="34"/>
    </row>
    <row r="914" spans="7:7" ht="13">
      <c r="G914" s="34"/>
    </row>
    <row r="915" spans="7:7" ht="13">
      <c r="G915" s="34"/>
    </row>
    <row r="916" spans="7:7" ht="13">
      <c r="G916" s="34"/>
    </row>
    <row r="917" spans="7:7" ht="13">
      <c r="G917" s="34"/>
    </row>
    <row r="918" spans="7:7" ht="13">
      <c r="G918" s="34"/>
    </row>
    <row r="919" spans="7:7" ht="13">
      <c r="G919" s="34"/>
    </row>
    <row r="920" spans="7:7" ht="13">
      <c r="G920" s="34"/>
    </row>
    <row r="921" spans="7:7" ht="13">
      <c r="G921" s="34"/>
    </row>
    <row r="922" spans="7:7" ht="13">
      <c r="G922" s="34"/>
    </row>
    <row r="923" spans="7:7" ht="13">
      <c r="G923" s="34"/>
    </row>
    <row r="924" spans="7:7" ht="13">
      <c r="G924" s="34"/>
    </row>
    <row r="925" spans="7:7" ht="13">
      <c r="G925" s="34"/>
    </row>
    <row r="926" spans="7:7" ht="13">
      <c r="G926" s="34"/>
    </row>
    <row r="927" spans="7:7" ht="13">
      <c r="G927" s="34"/>
    </row>
    <row r="928" spans="7:7" ht="13">
      <c r="G928" s="34"/>
    </row>
    <row r="929" spans="7:7" ht="13">
      <c r="G929" s="34"/>
    </row>
    <row r="930" spans="7:7" ht="13">
      <c r="G930" s="34"/>
    </row>
    <row r="931" spans="7:7" ht="13">
      <c r="G931" s="34"/>
    </row>
    <row r="932" spans="7:7" ht="13">
      <c r="G932" s="34"/>
    </row>
    <row r="933" spans="7:7" ht="13">
      <c r="G933" s="34"/>
    </row>
    <row r="934" spans="7:7" ht="13">
      <c r="G934" s="34"/>
    </row>
    <row r="935" spans="7:7" ht="13">
      <c r="G935" s="34"/>
    </row>
    <row r="936" spans="7:7" ht="13">
      <c r="G936" s="34"/>
    </row>
    <row r="937" spans="7:7" ht="13">
      <c r="G937" s="34"/>
    </row>
    <row r="938" spans="7:7" ht="13">
      <c r="G938" s="34"/>
    </row>
    <row r="939" spans="7:7" ht="13">
      <c r="G939" s="34"/>
    </row>
    <row r="940" spans="7:7" ht="13">
      <c r="G940" s="34"/>
    </row>
    <row r="941" spans="7:7" ht="13">
      <c r="G941" s="34"/>
    </row>
    <row r="942" spans="7:7" ht="13">
      <c r="G942" s="34"/>
    </row>
    <row r="943" spans="7:7" ht="13">
      <c r="G943" s="34"/>
    </row>
    <row r="944" spans="7:7" ht="13">
      <c r="G944" s="34"/>
    </row>
    <row r="945" spans="7:7" ht="13">
      <c r="G945" s="34"/>
    </row>
    <row r="946" spans="7:7" ht="13">
      <c r="G946" s="34"/>
    </row>
    <row r="947" spans="7:7" ht="13">
      <c r="G947" s="34"/>
    </row>
    <row r="948" spans="7:7" ht="13">
      <c r="G948" s="34"/>
    </row>
    <row r="949" spans="7:7" ht="13">
      <c r="G949" s="34"/>
    </row>
    <row r="950" spans="7:7" ht="13">
      <c r="G950" s="34"/>
    </row>
    <row r="951" spans="7:7" ht="13">
      <c r="G951" s="34"/>
    </row>
    <row r="952" spans="7:7" ht="13">
      <c r="G952" s="34"/>
    </row>
    <row r="953" spans="7:7" ht="13">
      <c r="G953" s="34"/>
    </row>
    <row r="954" spans="7:7" ht="13">
      <c r="G954" s="34"/>
    </row>
    <row r="955" spans="7:7" ht="13">
      <c r="G955" s="34"/>
    </row>
    <row r="956" spans="7:7" ht="13">
      <c r="G956" s="34"/>
    </row>
    <row r="957" spans="7:7" ht="13">
      <c r="G957" s="34"/>
    </row>
    <row r="958" spans="7:7" ht="13">
      <c r="G958" s="34"/>
    </row>
    <row r="959" spans="7:7" ht="13">
      <c r="G959" s="34"/>
    </row>
    <row r="960" spans="7:7" ht="13">
      <c r="G960" s="34"/>
    </row>
    <row r="961" spans="7:7" ht="13">
      <c r="G961" s="34"/>
    </row>
    <row r="962" spans="7:7" ht="13">
      <c r="G962" s="34"/>
    </row>
    <row r="963" spans="7:7" ht="13">
      <c r="G963" s="34"/>
    </row>
    <row r="964" spans="7:7" ht="13">
      <c r="G964" s="34"/>
    </row>
    <row r="965" spans="7:7" ht="13">
      <c r="G965" s="34"/>
    </row>
    <row r="966" spans="7:7" ht="13">
      <c r="G966" s="34"/>
    </row>
    <row r="967" spans="7:7" ht="13">
      <c r="G967" s="34"/>
    </row>
    <row r="968" spans="7:7" ht="13">
      <c r="G968" s="34"/>
    </row>
    <row r="969" spans="7:7" ht="13">
      <c r="G969" s="34"/>
    </row>
    <row r="970" spans="7:7" ht="13">
      <c r="G970" s="34"/>
    </row>
    <row r="971" spans="7:7" ht="13">
      <c r="G971" s="34"/>
    </row>
    <row r="972" spans="7:7" ht="13">
      <c r="G972" s="34"/>
    </row>
    <row r="973" spans="7:7" ht="13">
      <c r="G973" s="34"/>
    </row>
    <row r="974" spans="7:7" ht="13">
      <c r="G974" s="34"/>
    </row>
    <row r="975" spans="7:7" ht="13">
      <c r="G975" s="34"/>
    </row>
    <row r="976" spans="7:7" ht="13">
      <c r="G976" s="34"/>
    </row>
    <row r="977" spans="7:7" ht="13">
      <c r="G977" s="34"/>
    </row>
    <row r="978" spans="7:7" ht="13">
      <c r="G978" s="34"/>
    </row>
    <row r="979" spans="7:7" ht="13">
      <c r="G979" s="34"/>
    </row>
    <row r="980" spans="7:7" ht="13">
      <c r="G980" s="34"/>
    </row>
    <row r="981" spans="7:7" ht="13">
      <c r="G981" s="34"/>
    </row>
    <row r="982" spans="7:7" ht="13">
      <c r="G982" s="34"/>
    </row>
    <row r="983" spans="7:7" ht="13">
      <c r="G983" s="34"/>
    </row>
    <row r="984" spans="7:7" ht="13">
      <c r="G984" s="34"/>
    </row>
    <row r="985" spans="7:7" ht="13">
      <c r="G985" s="34"/>
    </row>
    <row r="986" spans="7:7" ht="13">
      <c r="G986" s="34"/>
    </row>
    <row r="987" spans="7:7" ht="13">
      <c r="G987" s="34"/>
    </row>
    <row r="988" spans="7:7" ht="13">
      <c r="G988" s="34"/>
    </row>
    <row r="989" spans="7:7" ht="13">
      <c r="G989" s="34"/>
    </row>
    <row r="990" spans="7:7" ht="13">
      <c r="G990" s="34"/>
    </row>
    <row r="991" spans="7:7" ht="13">
      <c r="G991" s="34"/>
    </row>
    <row r="992" spans="7:7" ht="13">
      <c r="G992" s="34"/>
    </row>
    <row r="993" spans="7:7" ht="13">
      <c r="G993" s="34"/>
    </row>
    <row r="994" spans="7:7" ht="13">
      <c r="G994" s="34"/>
    </row>
    <row r="995" spans="7:7" ht="13">
      <c r="G995" s="34"/>
    </row>
    <row r="996" spans="7:7" ht="13">
      <c r="G996" s="34"/>
    </row>
    <row r="997" spans="7:7" ht="13">
      <c r="G997" s="34"/>
    </row>
    <row r="998" spans="7:7" ht="13">
      <c r="G998" s="34"/>
    </row>
    <row r="999" spans="7:7" ht="13">
      <c r="G999" s="34"/>
    </row>
    <row r="1000" spans="7:7" ht="13">
      <c r="G1000" s="34"/>
    </row>
    <row r="1001" spans="7:7" ht="13">
      <c r="G1001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4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640625" defaultRowHeight="15.75" customHeight="1"/>
  <cols>
    <col min="2" max="2" width="14" customWidth="1"/>
    <col min="8" max="8" width="25.5" customWidth="1"/>
  </cols>
  <sheetData>
    <row r="1" spans="1:26" ht="13">
      <c r="A1" s="35" t="s">
        <v>78</v>
      </c>
      <c r="B1" s="35" t="s">
        <v>79</v>
      </c>
      <c r="C1" s="35" t="s">
        <v>83</v>
      </c>
      <c r="D1" s="36" t="s">
        <v>84</v>
      </c>
      <c r="E1" s="37" t="s">
        <v>85</v>
      </c>
      <c r="F1" s="37" t="s">
        <v>86</v>
      </c>
      <c r="G1" s="37" t="s">
        <v>87</v>
      </c>
      <c r="H1" s="37" t="s">
        <v>88</v>
      </c>
      <c r="I1" s="37" t="s">
        <v>81</v>
      </c>
      <c r="J1" s="37" t="s">
        <v>82</v>
      </c>
      <c r="K1" s="37" t="s">
        <v>89</v>
      </c>
      <c r="L1" s="35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4">
      <c r="A2" s="34" t="s">
        <v>90</v>
      </c>
      <c r="B2" s="34" t="s">
        <v>91</v>
      </c>
      <c r="C2" s="34"/>
      <c r="D2" s="39">
        <v>43800</v>
      </c>
      <c r="E2" s="40">
        <v>2021</v>
      </c>
      <c r="F2" s="34" t="s">
        <v>92</v>
      </c>
      <c r="G2" s="34" t="s">
        <v>93</v>
      </c>
      <c r="H2" s="41" t="s">
        <v>5</v>
      </c>
      <c r="I2" s="41" t="s">
        <v>94</v>
      </c>
      <c r="J2" s="41" t="s">
        <v>95</v>
      </c>
      <c r="K2" s="42" t="s">
        <v>96</v>
      </c>
      <c r="L2" s="43"/>
    </row>
    <row r="3" spans="1:26" ht="14">
      <c r="A3" s="34" t="s">
        <v>97</v>
      </c>
      <c r="B3" s="34" t="s">
        <v>98</v>
      </c>
      <c r="C3" s="34"/>
      <c r="D3" s="39">
        <v>43841</v>
      </c>
      <c r="E3" s="40">
        <v>2022</v>
      </c>
      <c r="F3" s="34" t="s">
        <v>92</v>
      </c>
      <c r="G3" s="34" t="s">
        <v>99</v>
      </c>
      <c r="H3" s="41" t="s">
        <v>5</v>
      </c>
      <c r="I3" s="41" t="s">
        <v>100</v>
      </c>
      <c r="J3" s="41"/>
      <c r="K3" s="42" t="s">
        <v>96</v>
      </c>
      <c r="L3" s="43"/>
    </row>
    <row r="4" spans="1:26" ht="13">
      <c r="A4" s="34" t="s">
        <v>101</v>
      </c>
      <c r="B4" s="34" t="s">
        <v>102</v>
      </c>
      <c r="C4" s="34"/>
      <c r="D4" s="44">
        <v>43830</v>
      </c>
      <c r="E4" s="40">
        <v>2022</v>
      </c>
      <c r="F4" s="34" t="s">
        <v>92</v>
      </c>
      <c r="G4" s="34" t="s">
        <v>103</v>
      </c>
      <c r="H4" s="41" t="s">
        <v>5</v>
      </c>
      <c r="I4" s="41" t="s">
        <v>100</v>
      </c>
      <c r="J4" s="41"/>
      <c r="K4" s="42" t="s">
        <v>96</v>
      </c>
      <c r="L4" s="34"/>
    </row>
    <row r="5" spans="1:26" ht="13">
      <c r="A5" s="34" t="s">
        <v>104</v>
      </c>
      <c r="B5" s="34" t="s">
        <v>105</v>
      </c>
      <c r="C5" s="34"/>
      <c r="D5" s="39">
        <v>43586</v>
      </c>
      <c r="E5" s="40">
        <v>2022</v>
      </c>
      <c r="F5" s="34" t="s">
        <v>92</v>
      </c>
      <c r="G5" s="34" t="s">
        <v>106</v>
      </c>
      <c r="H5" s="41" t="s">
        <v>5</v>
      </c>
      <c r="I5" s="41" t="s">
        <v>100</v>
      </c>
      <c r="J5" s="41"/>
      <c r="K5" s="42" t="s">
        <v>96</v>
      </c>
      <c r="L5" s="34"/>
    </row>
    <row r="6" spans="1:26" ht="13">
      <c r="A6" s="34" t="s">
        <v>107</v>
      </c>
      <c r="B6" s="34" t="s">
        <v>108</v>
      </c>
      <c r="C6" s="34"/>
      <c r="D6" s="44">
        <v>43830</v>
      </c>
      <c r="E6" s="40">
        <v>2022</v>
      </c>
      <c r="F6" s="34" t="s">
        <v>92</v>
      </c>
      <c r="G6" s="34" t="s">
        <v>109</v>
      </c>
      <c r="H6" s="41" t="s">
        <v>5</v>
      </c>
      <c r="I6" s="41" t="s">
        <v>100</v>
      </c>
      <c r="J6" s="41"/>
      <c r="K6" s="42" t="s">
        <v>96</v>
      </c>
      <c r="L6" s="34"/>
    </row>
    <row r="7" spans="1:26" ht="13">
      <c r="A7" s="34" t="s">
        <v>110</v>
      </c>
      <c r="B7" s="34" t="s">
        <v>111</v>
      </c>
      <c r="C7" s="34"/>
      <c r="D7" s="39">
        <v>44105</v>
      </c>
      <c r="E7" s="40">
        <v>2023</v>
      </c>
      <c r="F7" s="34" t="s">
        <v>92</v>
      </c>
      <c r="G7" s="34" t="s">
        <v>112</v>
      </c>
      <c r="H7" s="41" t="s">
        <v>5</v>
      </c>
      <c r="I7" s="41" t="s">
        <v>100</v>
      </c>
      <c r="J7" s="41"/>
      <c r="K7" s="42" t="s">
        <v>96</v>
      </c>
      <c r="L7" s="34"/>
    </row>
    <row r="8" spans="1:26" ht="13">
      <c r="A8" s="34" t="s">
        <v>113</v>
      </c>
      <c r="B8" s="34" t="s">
        <v>114</v>
      </c>
      <c r="C8" s="34"/>
      <c r="D8" s="39">
        <v>44105</v>
      </c>
      <c r="E8" s="40">
        <v>2023</v>
      </c>
      <c r="F8" s="34" t="s">
        <v>92</v>
      </c>
      <c r="G8" s="34" t="s">
        <v>115</v>
      </c>
      <c r="H8" s="41" t="s">
        <v>5</v>
      </c>
      <c r="I8" s="41" t="s">
        <v>100</v>
      </c>
      <c r="J8" s="41"/>
      <c r="K8" s="42" t="s">
        <v>96</v>
      </c>
      <c r="L8" s="34"/>
    </row>
    <row r="9" spans="1:26" ht="13">
      <c r="A9" s="34" t="s">
        <v>116</v>
      </c>
      <c r="B9" s="34" t="s">
        <v>117</v>
      </c>
      <c r="C9" s="34"/>
      <c r="D9" s="39">
        <v>44105</v>
      </c>
      <c r="E9" s="40">
        <v>2023</v>
      </c>
      <c r="F9" s="34" t="s">
        <v>92</v>
      </c>
      <c r="G9" s="34" t="s">
        <v>118</v>
      </c>
      <c r="H9" s="41" t="s">
        <v>5</v>
      </c>
      <c r="I9" s="41" t="s">
        <v>100</v>
      </c>
      <c r="J9" s="41"/>
      <c r="K9" s="42" t="s">
        <v>96</v>
      </c>
      <c r="L9" s="34"/>
    </row>
    <row r="10" spans="1:26" ht="13">
      <c r="A10" s="34" t="s">
        <v>119</v>
      </c>
      <c r="B10" s="34" t="s">
        <v>120</v>
      </c>
      <c r="C10" s="34"/>
      <c r="D10" s="39">
        <v>44105</v>
      </c>
      <c r="E10" s="40">
        <v>2023</v>
      </c>
      <c r="F10" s="34" t="s">
        <v>92</v>
      </c>
      <c r="G10" s="34" t="s">
        <v>121</v>
      </c>
      <c r="H10" s="41" t="s">
        <v>5</v>
      </c>
      <c r="I10" s="41" t="s">
        <v>100</v>
      </c>
      <c r="J10" s="41"/>
      <c r="K10" s="42" t="s">
        <v>96</v>
      </c>
      <c r="L10" s="34"/>
    </row>
    <row r="11" spans="1:26" ht="13">
      <c r="A11" s="34" t="s">
        <v>122</v>
      </c>
      <c r="B11" s="34" t="s">
        <v>123</v>
      </c>
      <c r="C11" s="34"/>
      <c r="D11" s="39">
        <v>44501</v>
      </c>
      <c r="E11" s="40">
        <v>2024</v>
      </c>
      <c r="F11" s="34" t="s">
        <v>92</v>
      </c>
      <c r="G11" s="34" t="s">
        <v>124</v>
      </c>
      <c r="H11" s="41" t="s">
        <v>5</v>
      </c>
      <c r="I11" s="41" t="s">
        <v>125</v>
      </c>
      <c r="J11" s="41"/>
      <c r="K11" s="42" t="s">
        <v>96</v>
      </c>
      <c r="L11" s="34"/>
    </row>
    <row r="12" spans="1:26" ht="13">
      <c r="A12" s="34" t="s">
        <v>126</v>
      </c>
      <c r="B12" s="34" t="s">
        <v>127</v>
      </c>
      <c r="C12" s="34"/>
      <c r="D12" s="39">
        <v>44501</v>
      </c>
      <c r="E12" s="40">
        <v>2024</v>
      </c>
      <c r="F12" s="34" t="s">
        <v>92</v>
      </c>
      <c r="G12" s="34" t="s">
        <v>128</v>
      </c>
      <c r="H12" s="41" t="s">
        <v>5</v>
      </c>
      <c r="I12" s="41" t="s">
        <v>100</v>
      </c>
      <c r="J12" s="41"/>
      <c r="K12" s="42" t="s">
        <v>96</v>
      </c>
      <c r="L12" s="34"/>
    </row>
    <row r="13" spans="1:26" ht="13">
      <c r="A13" s="34" t="s">
        <v>129</v>
      </c>
      <c r="B13" s="34" t="s">
        <v>130</v>
      </c>
      <c r="C13" s="34"/>
      <c r="D13" s="39">
        <v>44501</v>
      </c>
      <c r="E13" s="40">
        <v>2024</v>
      </c>
      <c r="F13" s="34" t="s">
        <v>92</v>
      </c>
      <c r="G13" s="34" t="s">
        <v>115</v>
      </c>
      <c r="H13" s="41" t="s">
        <v>5</v>
      </c>
      <c r="I13" s="41" t="s">
        <v>100</v>
      </c>
      <c r="J13" s="41"/>
      <c r="K13" s="42" t="s">
        <v>96</v>
      </c>
      <c r="L13" s="34"/>
    </row>
    <row r="14" spans="1:26" ht="13">
      <c r="A14" s="34" t="s">
        <v>131</v>
      </c>
      <c r="B14" s="34" t="s">
        <v>132</v>
      </c>
      <c r="C14" s="34"/>
      <c r="D14" s="39">
        <v>44501</v>
      </c>
      <c r="E14" s="40">
        <v>2024</v>
      </c>
      <c r="F14" s="34" t="s">
        <v>92</v>
      </c>
      <c r="G14" s="34" t="s">
        <v>133</v>
      </c>
      <c r="H14" s="41" t="s">
        <v>5</v>
      </c>
      <c r="I14" s="41" t="s">
        <v>100</v>
      </c>
      <c r="J14" s="41"/>
      <c r="K14" s="42" t="s">
        <v>96</v>
      </c>
      <c r="L14" s="34"/>
    </row>
    <row r="15" spans="1:26" ht="13">
      <c r="A15" s="34" t="s">
        <v>134</v>
      </c>
      <c r="B15" s="34" t="s">
        <v>108</v>
      </c>
      <c r="C15" s="34"/>
      <c r="D15" s="39">
        <v>44501</v>
      </c>
      <c r="E15" s="40">
        <v>2024</v>
      </c>
      <c r="F15" s="34" t="s">
        <v>92</v>
      </c>
      <c r="G15" s="34" t="s">
        <v>135</v>
      </c>
      <c r="H15" s="41" t="s">
        <v>5</v>
      </c>
      <c r="I15" s="41" t="s">
        <v>100</v>
      </c>
      <c r="J15" s="41"/>
      <c r="K15" s="42" t="s">
        <v>96</v>
      </c>
      <c r="L15" s="34"/>
    </row>
    <row r="16" spans="1:26" ht="13">
      <c r="A16" s="42" t="s">
        <v>136</v>
      </c>
      <c r="B16" s="42" t="s">
        <v>137</v>
      </c>
      <c r="D16" s="45">
        <v>43191</v>
      </c>
      <c r="E16" s="45">
        <v>44651</v>
      </c>
      <c r="F16" s="42" t="s">
        <v>92</v>
      </c>
      <c r="G16" s="42" t="s">
        <v>138</v>
      </c>
      <c r="H16" s="42" t="s">
        <v>9</v>
      </c>
      <c r="I16" s="42" t="s">
        <v>94</v>
      </c>
      <c r="J16" s="41" t="s">
        <v>95</v>
      </c>
      <c r="K16" s="42" t="s">
        <v>96</v>
      </c>
      <c r="L16" s="34"/>
    </row>
    <row r="17" spans="1:12" ht="13">
      <c r="A17" s="42" t="s">
        <v>139</v>
      </c>
      <c r="B17" s="42" t="s">
        <v>140</v>
      </c>
      <c r="D17" s="45">
        <v>43983</v>
      </c>
      <c r="E17" s="45">
        <v>44742</v>
      </c>
      <c r="F17" s="42" t="s">
        <v>92</v>
      </c>
      <c r="G17" s="42" t="s">
        <v>118</v>
      </c>
      <c r="H17" s="42" t="s">
        <v>8</v>
      </c>
      <c r="I17" s="42" t="s">
        <v>94</v>
      </c>
      <c r="J17" s="41" t="s">
        <v>95</v>
      </c>
      <c r="K17" s="42" t="s">
        <v>96</v>
      </c>
      <c r="L17" s="34"/>
    </row>
    <row r="18" spans="1:12" ht="13">
      <c r="A18" s="42" t="s">
        <v>141</v>
      </c>
      <c r="B18" s="42" t="s">
        <v>142</v>
      </c>
      <c r="D18" s="46"/>
      <c r="E18" s="45">
        <v>45016</v>
      </c>
      <c r="F18" s="42" t="s">
        <v>92</v>
      </c>
      <c r="G18" s="42" t="s">
        <v>143</v>
      </c>
      <c r="H18" s="42" t="s">
        <v>30</v>
      </c>
      <c r="I18" s="42" t="s">
        <v>94</v>
      </c>
      <c r="K18" s="41" t="s">
        <v>144</v>
      </c>
      <c r="L18" s="34"/>
    </row>
    <row r="19" spans="1:12" ht="13">
      <c r="A19" s="42" t="s">
        <v>145</v>
      </c>
      <c r="B19" s="42" t="s">
        <v>146</v>
      </c>
      <c r="D19" s="46"/>
      <c r="E19" s="45">
        <v>45016</v>
      </c>
      <c r="F19" s="42" t="s">
        <v>92</v>
      </c>
      <c r="G19" s="42" t="s">
        <v>109</v>
      </c>
      <c r="H19" s="42" t="s">
        <v>31</v>
      </c>
      <c r="I19" s="42" t="s">
        <v>94</v>
      </c>
      <c r="K19" s="41" t="s">
        <v>144</v>
      </c>
      <c r="L19" s="34"/>
    </row>
    <row r="20" spans="1:12" ht="13">
      <c r="A20" s="42" t="s">
        <v>147</v>
      </c>
      <c r="B20" s="42" t="s">
        <v>148</v>
      </c>
      <c r="D20" s="46"/>
      <c r="E20" s="45">
        <v>45016</v>
      </c>
      <c r="F20" s="42" t="s">
        <v>92</v>
      </c>
      <c r="G20" s="42" t="s">
        <v>115</v>
      </c>
      <c r="H20" s="42" t="s">
        <v>43</v>
      </c>
      <c r="I20" s="42" t="s">
        <v>94</v>
      </c>
      <c r="J20" s="42" t="s">
        <v>149</v>
      </c>
      <c r="K20" s="42" t="s">
        <v>96</v>
      </c>
      <c r="L20" s="34"/>
    </row>
    <row r="21" spans="1:12" ht="13">
      <c r="A21" s="42" t="s">
        <v>150</v>
      </c>
      <c r="B21" s="42" t="s">
        <v>151</v>
      </c>
      <c r="D21" s="46"/>
      <c r="E21" s="45">
        <v>45016</v>
      </c>
      <c r="F21" s="42" t="s">
        <v>92</v>
      </c>
      <c r="G21" s="42" t="s">
        <v>152</v>
      </c>
      <c r="H21" s="42" t="s">
        <v>43</v>
      </c>
      <c r="I21" s="42" t="s">
        <v>94</v>
      </c>
      <c r="J21" s="42" t="s">
        <v>153</v>
      </c>
      <c r="K21" s="42" t="s">
        <v>96</v>
      </c>
    </row>
    <row r="22" spans="1:12" ht="13">
      <c r="A22" s="42" t="s">
        <v>154</v>
      </c>
      <c r="B22" s="42" t="s">
        <v>155</v>
      </c>
      <c r="D22" s="46"/>
      <c r="E22" s="45">
        <v>45016</v>
      </c>
      <c r="F22" s="42" t="s">
        <v>92</v>
      </c>
      <c r="G22" s="42" t="s">
        <v>152</v>
      </c>
      <c r="H22" s="42" t="s">
        <v>43</v>
      </c>
      <c r="I22" s="42" t="s">
        <v>94</v>
      </c>
      <c r="J22" s="42" t="s">
        <v>149</v>
      </c>
      <c r="K22" s="42" t="s">
        <v>96</v>
      </c>
    </row>
    <row r="23" spans="1:12" ht="13">
      <c r="A23" s="42" t="s">
        <v>156</v>
      </c>
      <c r="B23" s="42" t="s">
        <v>157</v>
      </c>
      <c r="D23" s="45">
        <v>44287</v>
      </c>
      <c r="E23" s="45">
        <v>45016</v>
      </c>
      <c r="F23" s="42" t="s">
        <v>92</v>
      </c>
      <c r="G23" s="42" t="s">
        <v>115</v>
      </c>
      <c r="H23" s="42" t="s">
        <v>16</v>
      </c>
      <c r="I23" s="42" t="s">
        <v>94</v>
      </c>
      <c r="J23" s="42" t="s">
        <v>95</v>
      </c>
      <c r="K23" s="41" t="s">
        <v>144</v>
      </c>
    </row>
    <row r="24" spans="1:12" ht="13">
      <c r="A24" s="42" t="s">
        <v>158</v>
      </c>
      <c r="B24" s="42" t="s">
        <v>159</v>
      </c>
      <c r="D24" s="46"/>
      <c r="E24" s="45">
        <v>45016</v>
      </c>
      <c r="F24" s="42" t="s">
        <v>92</v>
      </c>
      <c r="G24" s="42" t="s">
        <v>160</v>
      </c>
      <c r="H24" s="42" t="s">
        <v>34</v>
      </c>
      <c r="I24" s="42" t="s">
        <v>94</v>
      </c>
      <c r="K24" s="41" t="s">
        <v>144</v>
      </c>
    </row>
    <row r="25" spans="1:12" ht="13">
      <c r="A25" s="42" t="s">
        <v>161</v>
      </c>
      <c r="B25" s="42" t="s">
        <v>162</v>
      </c>
      <c r="D25" s="45">
        <v>44287</v>
      </c>
      <c r="E25" s="45">
        <v>45016</v>
      </c>
      <c r="F25" s="42" t="s">
        <v>92</v>
      </c>
      <c r="G25" s="42" t="s">
        <v>163</v>
      </c>
      <c r="H25" s="42" t="s">
        <v>0</v>
      </c>
      <c r="I25" s="42" t="s">
        <v>94</v>
      </c>
      <c r="J25" s="41" t="s">
        <v>95</v>
      </c>
      <c r="K25" s="41" t="s">
        <v>144</v>
      </c>
    </row>
    <row r="26" spans="1:12" ht="13">
      <c r="A26" s="42" t="s">
        <v>164</v>
      </c>
      <c r="B26" s="42" t="s">
        <v>165</v>
      </c>
      <c r="D26" s="46"/>
      <c r="E26" s="45">
        <v>45016</v>
      </c>
      <c r="F26" s="42" t="s">
        <v>92</v>
      </c>
      <c r="G26" s="42" t="s">
        <v>166</v>
      </c>
      <c r="H26" s="42" t="s">
        <v>25</v>
      </c>
      <c r="I26" s="42" t="s">
        <v>94</v>
      </c>
      <c r="K26" s="42" t="s">
        <v>96</v>
      </c>
    </row>
    <row r="27" spans="1:12" ht="13">
      <c r="A27" s="42" t="s">
        <v>167</v>
      </c>
      <c r="B27" s="42" t="s">
        <v>168</v>
      </c>
      <c r="D27" s="45">
        <v>44287</v>
      </c>
      <c r="E27" s="45">
        <v>45016</v>
      </c>
      <c r="F27" s="42" t="s">
        <v>92</v>
      </c>
      <c r="G27" s="42" t="s">
        <v>169</v>
      </c>
      <c r="H27" s="42" t="s">
        <v>7</v>
      </c>
      <c r="I27" s="42" t="s">
        <v>94</v>
      </c>
      <c r="J27" s="41" t="s">
        <v>95</v>
      </c>
      <c r="K27" s="42" t="s">
        <v>96</v>
      </c>
    </row>
    <row r="28" spans="1:12" ht="13">
      <c r="A28" s="42" t="s">
        <v>170</v>
      </c>
      <c r="B28" s="42" t="s">
        <v>171</v>
      </c>
      <c r="D28" s="46"/>
      <c r="E28" s="45">
        <v>45016</v>
      </c>
      <c r="F28" s="42" t="s">
        <v>92</v>
      </c>
      <c r="G28" s="42" t="s">
        <v>172</v>
      </c>
      <c r="H28" s="42" t="s">
        <v>40</v>
      </c>
      <c r="I28" s="42" t="s">
        <v>94</v>
      </c>
      <c r="K28" s="42" t="s">
        <v>96</v>
      </c>
    </row>
    <row r="29" spans="1:12" ht="13">
      <c r="A29" s="47" t="s">
        <v>173</v>
      </c>
      <c r="B29" s="42" t="s">
        <v>130</v>
      </c>
      <c r="C29" s="42" t="s">
        <v>174</v>
      </c>
      <c r="D29" s="45">
        <v>43556</v>
      </c>
      <c r="E29" s="45">
        <v>45016</v>
      </c>
      <c r="F29" s="42" t="s">
        <v>92</v>
      </c>
      <c r="G29" s="42" t="s">
        <v>175</v>
      </c>
      <c r="H29" s="42" t="s">
        <v>2</v>
      </c>
      <c r="I29" s="42" t="s">
        <v>2</v>
      </c>
      <c r="J29" s="41" t="s">
        <v>95</v>
      </c>
      <c r="K29" s="41" t="s">
        <v>144</v>
      </c>
    </row>
    <row r="30" spans="1:12" ht="13">
      <c r="A30" s="42" t="s">
        <v>176</v>
      </c>
      <c r="B30" s="42" t="s">
        <v>177</v>
      </c>
      <c r="D30" s="45">
        <v>44287</v>
      </c>
      <c r="E30" s="45">
        <v>45016</v>
      </c>
      <c r="F30" s="42" t="s">
        <v>92</v>
      </c>
      <c r="G30" s="42" t="s">
        <v>178</v>
      </c>
      <c r="H30" s="42" t="s">
        <v>10</v>
      </c>
      <c r="I30" s="42" t="s">
        <v>94</v>
      </c>
      <c r="J30" s="41" t="s">
        <v>95</v>
      </c>
      <c r="K30" s="42" t="s">
        <v>96</v>
      </c>
    </row>
    <row r="31" spans="1:12" ht="13">
      <c r="A31" s="42" t="s">
        <v>122</v>
      </c>
      <c r="B31" s="42" t="s">
        <v>123</v>
      </c>
      <c r="D31" s="45">
        <v>44287</v>
      </c>
      <c r="E31" s="45">
        <v>45016</v>
      </c>
      <c r="F31" s="42" t="s">
        <v>92</v>
      </c>
      <c r="G31" s="42" t="s">
        <v>179</v>
      </c>
      <c r="H31" s="42" t="s">
        <v>26</v>
      </c>
      <c r="I31" s="42" t="s">
        <v>94</v>
      </c>
      <c r="J31" s="42" t="s">
        <v>95</v>
      </c>
      <c r="K31" s="41" t="s">
        <v>144</v>
      </c>
    </row>
    <row r="32" spans="1:12" ht="13">
      <c r="A32" s="42" t="s">
        <v>180</v>
      </c>
      <c r="B32" s="42" t="s">
        <v>181</v>
      </c>
      <c r="D32" s="46"/>
      <c r="E32" s="45">
        <v>45016</v>
      </c>
      <c r="F32" s="42" t="s">
        <v>92</v>
      </c>
      <c r="G32" s="42" t="s">
        <v>182</v>
      </c>
      <c r="H32" s="42" t="s">
        <v>56</v>
      </c>
      <c r="I32" s="42" t="s">
        <v>94</v>
      </c>
      <c r="K32" s="42" t="s">
        <v>96</v>
      </c>
    </row>
    <row r="33" spans="1:11" ht="13">
      <c r="A33" s="42" t="s">
        <v>183</v>
      </c>
      <c r="B33" s="42" t="s">
        <v>184</v>
      </c>
      <c r="D33" s="45">
        <v>44287</v>
      </c>
      <c r="E33" s="45">
        <v>45016</v>
      </c>
      <c r="F33" s="42" t="s">
        <v>92</v>
      </c>
      <c r="G33" s="42" t="s">
        <v>185</v>
      </c>
      <c r="H33" s="42" t="s">
        <v>15</v>
      </c>
      <c r="I33" s="42" t="s">
        <v>100</v>
      </c>
      <c r="J33" s="42" t="s">
        <v>186</v>
      </c>
      <c r="K33" s="42" t="s">
        <v>96</v>
      </c>
    </row>
    <row r="34" spans="1:11" ht="13">
      <c r="A34" s="42" t="s">
        <v>187</v>
      </c>
      <c r="B34" s="42" t="s">
        <v>188</v>
      </c>
      <c r="D34" s="45">
        <v>44288</v>
      </c>
      <c r="E34" s="45">
        <v>45017</v>
      </c>
      <c r="F34" s="42" t="s">
        <v>92</v>
      </c>
      <c r="G34" s="42" t="s">
        <v>189</v>
      </c>
      <c r="H34" s="42" t="s">
        <v>15</v>
      </c>
      <c r="I34" s="42" t="s">
        <v>100</v>
      </c>
      <c r="K34" s="42" t="s">
        <v>96</v>
      </c>
    </row>
    <row r="35" spans="1:11" ht="13">
      <c r="A35" s="42" t="s">
        <v>190</v>
      </c>
      <c r="B35" s="42" t="s">
        <v>191</v>
      </c>
      <c r="D35" s="45">
        <v>44289</v>
      </c>
      <c r="E35" s="45">
        <v>45018</v>
      </c>
      <c r="F35" s="42" t="s">
        <v>92</v>
      </c>
      <c r="G35" s="42" t="s">
        <v>172</v>
      </c>
      <c r="H35" s="42" t="s">
        <v>15</v>
      </c>
      <c r="I35" s="42" t="s">
        <v>100</v>
      </c>
      <c r="J35" s="42" t="s">
        <v>192</v>
      </c>
      <c r="K35" s="42" t="s">
        <v>96</v>
      </c>
    </row>
    <row r="36" spans="1:11" ht="13">
      <c r="A36" s="42" t="s">
        <v>193</v>
      </c>
      <c r="B36" s="42" t="s">
        <v>194</v>
      </c>
      <c r="D36" s="45">
        <v>44290</v>
      </c>
      <c r="E36" s="45">
        <v>45019</v>
      </c>
      <c r="F36" s="42" t="s">
        <v>92</v>
      </c>
      <c r="G36" s="42" t="s">
        <v>195</v>
      </c>
      <c r="H36" s="42" t="s">
        <v>15</v>
      </c>
      <c r="I36" s="42" t="s">
        <v>100</v>
      </c>
      <c r="K36" s="42" t="s">
        <v>96</v>
      </c>
    </row>
    <row r="37" spans="1:11" ht="13">
      <c r="A37" s="42" t="s">
        <v>196</v>
      </c>
      <c r="B37" s="42" t="s">
        <v>146</v>
      </c>
      <c r="D37" s="45">
        <v>44291</v>
      </c>
      <c r="E37" s="45">
        <v>45020</v>
      </c>
      <c r="F37" s="42" t="s">
        <v>92</v>
      </c>
      <c r="G37" s="42" t="s">
        <v>115</v>
      </c>
      <c r="H37" s="42" t="s">
        <v>15</v>
      </c>
      <c r="I37" s="42" t="s">
        <v>100</v>
      </c>
      <c r="K37" s="42" t="s">
        <v>96</v>
      </c>
    </row>
    <row r="38" spans="1:11" ht="13">
      <c r="A38" s="42" t="s">
        <v>197</v>
      </c>
      <c r="B38" s="42" t="s">
        <v>198</v>
      </c>
      <c r="D38" s="45">
        <v>44470</v>
      </c>
      <c r="E38" s="45">
        <v>45170</v>
      </c>
      <c r="F38" s="42" t="s">
        <v>92</v>
      </c>
      <c r="G38" s="42" t="s">
        <v>143</v>
      </c>
      <c r="H38" s="42" t="s">
        <v>30</v>
      </c>
      <c r="I38" s="42" t="s">
        <v>199</v>
      </c>
      <c r="J38" s="42" t="s">
        <v>199</v>
      </c>
      <c r="K38" s="42" t="s">
        <v>144</v>
      </c>
    </row>
    <row r="39" spans="1:11" ht="13">
      <c r="A39" s="42" t="s">
        <v>200</v>
      </c>
      <c r="B39" s="42" t="s">
        <v>201</v>
      </c>
      <c r="D39" s="45">
        <v>44470</v>
      </c>
      <c r="E39" s="45">
        <v>45199</v>
      </c>
      <c r="F39" s="42" t="s">
        <v>92</v>
      </c>
      <c r="G39" s="42" t="s">
        <v>115</v>
      </c>
      <c r="H39" s="42" t="s">
        <v>30</v>
      </c>
      <c r="I39" s="42" t="s">
        <v>94</v>
      </c>
      <c r="K39" s="41" t="s">
        <v>144</v>
      </c>
    </row>
    <row r="40" spans="1:11" ht="13">
      <c r="A40" s="42" t="s">
        <v>202</v>
      </c>
      <c r="B40" s="42" t="s">
        <v>203</v>
      </c>
      <c r="D40" s="45">
        <v>44470</v>
      </c>
      <c r="E40" s="45">
        <v>45199</v>
      </c>
      <c r="F40" s="42" t="s">
        <v>92</v>
      </c>
      <c r="G40" s="42" t="s">
        <v>169</v>
      </c>
      <c r="H40" s="42" t="s">
        <v>30</v>
      </c>
      <c r="I40" s="42" t="s">
        <v>204</v>
      </c>
      <c r="J40" s="42" t="s">
        <v>204</v>
      </c>
      <c r="K40" s="41" t="s">
        <v>144</v>
      </c>
    </row>
    <row r="41" spans="1:11" ht="13">
      <c r="A41" s="42" t="s">
        <v>205</v>
      </c>
      <c r="B41" s="42" t="s">
        <v>108</v>
      </c>
      <c r="D41" s="45">
        <v>44470</v>
      </c>
      <c r="E41" s="45">
        <v>45199</v>
      </c>
      <c r="F41" s="42" t="s">
        <v>92</v>
      </c>
      <c r="G41" s="42" t="s">
        <v>143</v>
      </c>
      <c r="H41" s="42" t="s">
        <v>1</v>
      </c>
      <c r="I41" s="42" t="s">
        <v>206</v>
      </c>
      <c r="J41" s="41"/>
      <c r="K41" s="42" t="s">
        <v>96</v>
      </c>
    </row>
    <row r="42" spans="1:11" ht="13">
      <c r="A42" s="42" t="s">
        <v>207</v>
      </c>
      <c r="B42" s="42" t="s">
        <v>208</v>
      </c>
      <c r="D42" s="45">
        <v>44593</v>
      </c>
      <c r="E42" s="45">
        <v>45382</v>
      </c>
      <c r="F42" s="42" t="s">
        <v>92</v>
      </c>
      <c r="G42" s="42" t="s">
        <v>175</v>
      </c>
      <c r="H42" s="42" t="s">
        <v>16</v>
      </c>
      <c r="I42" s="42" t="s">
        <v>94</v>
      </c>
      <c r="K42" s="41" t="s">
        <v>144</v>
      </c>
    </row>
    <row r="43" spans="1:11" ht="13">
      <c r="A43" s="42" t="s">
        <v>209</v>
      </c>
      <c r="B43" s="42" t="s">
        <v>210</v>
      </c>
      <c r="D43" s="45">
        <v>43922</v>
      </c>
      <c r="E43" s="45">
        <v>45382</v>
      </c>
      <c r="F43" s="42" t="s">
        <v>92</v>
      </c>
      <c r="G43" s="42" t="s">
        <v>99</v>
      </c>
      <c r="H43" s="42" t="s">
        <v>26</v>
      </c>
      <c r="I43" s="42" t="s">
        <v>94</v>
      </c>
      <c r="K43" s="41" t="s">
        <v>144</v>
      </c>
    </row>
    <row r="44" spans="1:11" ht="13">
      <c r="A44" s="48" t="s">
        <v>164</v>
      </c>
      <c r="B44" s="48" t="s">
        <v>165</v>
      </c>
      <c r="D44" s="45">
        <v>44648</v>
      </c>
      <c r="E44" s="45">
        <v>45382</v>
      </c>
      <c r="F44" s="48" t="s">
        <v>92</v>
      </c>
      <c r="G44" s="48" t="s">
        <v>166</v>
      </c>
      <c r="H44" s="42" t="s">
        <v>21</v>
      </c>
      <c r="I44" s="48" t="s">
        <v>94</v>
      </c>
      <c r="K44" s="42" t="s">
        <v>144</v>
      </c>
    </row>
    <row r="45" spans="1:11" ht="13">
      <c r="A45" s="42" t="s">
        <v>211</v>
      </c>
      <c r="B45" s="42" t="s">
        <v>212</v>
      </c>
      <c r="D45" s="45">
        <v>44697</v>
      </c>
      <c r="E45" s="45">
        <v>45382</v>
      </c>
      <c r="F45" s="42" t="s">
        <v>92</v>
      </c>
      <c r="G45" s="42" t="s">
        <v>189</v>
      </c>
      <c r="H45" s="42" t="s">
        <v>4</v>
      </c>
      <c r="I45" s="42" t="s">
        <v>213</v>
      </c>
      <c r="J45" s="42" t="s">
        <v>95</v>
      </c>
      <c r="K45" s="42" t="s">
        <v>144</v>
      </c>
    </row>
    <row r="46" spans="1:11" ht="13">
      <c r="A46" s="42" t="s">
        <v>214</v>
      </c>
      <c r="B46" s="42" t="s">
        <v>215</v>
      </c>
      <c r="D46" s="45">
        <v>44696</v>
      </c>
      <c r="E46" s="45">
        <v>45382</v>
      </c>
      <c r="F46" s="42" t="s">
        <v>92</v>
      </c>
      <c r="G46" s="42" t="s">
        <v>109</v>
      </c>
      <c r="H46" s="42" t="s">
        <v>11</v>
      </c>
      <c r="I46" s="42" t="s">
        <v>94</v>
      </c>
      <c r="K46" s="42" t="s">
        <v>144</v>
      </c>
    </row>
    <row r="47" spans="1:11" ht="13">
      <c r="A47" s="42" t="s">
        <v>216</v>
      </c>
      <c r="B47" s="42" t="s">
        <v>217</v>
      </c>
      <c r="D47" s="46"/>
      <c r="E47" s="46"/>
      <c r="F47" s="42" t="s">
        <v>92</v>
      </c>
      <c r="G47" s="42" t="s">
        <v>218</v>
      </c>
      <c r="H47" s="42" t="s">
        <v>11</v>
      </c>
      <c r="I47" s="42" t="s">
        <v>94</v>
      </c>
      <c r="J47" s="42" t="s">
        <v>95</v>
      </c>
      <c r="K47" s="41" t="s">
        <v>144</v>
      </c>
    </row>
    <row r="48" spans="1:11" ht="13">
      <c r="A48" s="42" t="s">
        <v>219</v>
      </c>
      <c r="B48" s="42" t="s">
        <v>220</v>
      </c>
      <c r="D48" s="46"/>
      <c r="E48" s="46"/>
      <c r="F48" s="42" t="s">
        <v>92</v>
      </c>
      <c r="G48" s="42" t="s">
        <v>160</v>
      </c>
      <c r="H48" s="42" t="s">
        <v>13</v>
      </c>
      <c r="I48" s="42" t="s">
        <v>94</v>
      </c>
      <c r="K48" s="42" t="s">
        <v>96</v>
      </c>
    </row>
    <row r="49" spans="1:11" ht="13">
      <c r="A49" s="42" t="s">
        <v>221</v>
      </c>
      <c r="B49" s="42" t="s">
        <v>222</v>
      </c>
      <c r="D49" s="46"/>
      <c r="E49" s="46"/>
      <c r="F49" s="42" t="s">
        <v>92</v>
      </c>
      <c r="G49" s="42" t="s">
        <v>109</v>
      </c>
      <c r="H49" s="42" t="s">
        <v>13</v>
      </c>
      <c r="I49" s="42" t="s">
        <v>94</v>
      </c>
      <c r="K49" s="42" t="s">
        <v>96</v>
      </c>
    </row>
    <row r="50" spans="1:11" ht="13">
      <c r="A50" s="42" t="s">
        <v>223</v>
      </c>
      <c r="B50" s="42" t="s">
        <v>105</v>
      </c>
      <c r="D50" s="46"/>
      <c r="E50" s="46"/>
      <c r="F50" s="42" t="s">
        <v>92</v>
      </c>
      <c r="G50" s="42" t="s">
        <v>115</v>
      </c>
      <c r="H50" s="42" t="s">
        <v>58</v>
      </c>
      <c r="I50" s="42" t="s">
        <v>94</v>
      </c>
      <c r="K50" s="42" t="s">
        <v>96</v>
      </c>
    </row>
    <row r="51" spans="1:11" ht="13">
      <c r="A51" s="42" t="s">
        <v>224</v>
      </c>
      <c r="B51" s="42" t="s">
        <v>225</v>
      </c>
      <c r="D51" s="46"/>
      <c r="E51" s="46"/>
      <c r="F51" s="42" t="s">
        <v>92</v>
      </c>
      <c r="G51" s="42" t="s">
        <v>152</v>
      </c>
      <c r="H51" s="42" t="s">
        <v>58</v>
      </c>
      <c r="I51" s="42" t="s">
        <v>94</v>
      </c>
      <c r="K51" s="42" t="s">
        <v>96</v>
      </c>
    </row>
    <row r="52" spans="1:11" ht="13">
      <c r="A52" s="42" t="s">
        <v>226</v>
      </c>
      <c r="B52" s="42" t="s">
        <v>168</v>
      </c>
      <c r="D52" s="46"/>
      <c r="E52" s="46"/>
      <c r="F52" s="42" t="s">
        <v>92</v>
      </c>
      <c r="G52" s="42" t="s">
        <v>160</v>
      </c>
      <c r="H52" s="42" t="s">
        <v>32</v>
      </c>
      <c r="I52" s="42" t="s">
        <v>94</v>
      </c>
      <c r="K52" s="42" t="s">
        <v>96</v>
      </c>
    </row>
    <row r="53" spans="1:11" ht="13">
      <c r="A53" s="42" t="s">
        <v>227</v>
      </c>
      <c r="B53" s="42" t="s">
        <v>228</v>
      </c>
      <c r="D53" s="46"/>
      <c r="E53" s="46"/>
      <c r="F53" s="42" t="s">
        <v>92</v>
      </c>
      <c r="G53" s="42" t="s">
        <v>115</v>
      </c>
      <c r="H53" s="42" t="s">
        <v>32</v>
      </c>
      <c r="I53" s="42" t="s">
        <v>94</v>
      </c>
      <c r="J53" s="42" t="s">
        <v>95</v>
      </c>
      <c r="K53" s="42" t="s">
        <v>96</v>
      </c>
    </row>
    <row r="54" spans="1:11" ht="13">
      <c r="A54" s="42" t="s">
        <v>229</v>
      </c>
      <c r="B54" s="42" t="s">
        <v>230</v>
      </c>
      <c r="D54" s="46"/>
      <c r="E54" s="46"/>
      <c r="F54" s="42" t="s">
        <v>92</v>
      </c>
      <c r="G54" s="42" t="s">
        <v>115</v>
      </c>
      <c r="H54" s="42" t="s">
        <v>21</v>
      </c>
      <c r="I54" s="42" t="s">
        <v>94</v>
      </c>
      <c r="J54" s="42" t="s">
        <v>95</v>
      </c>
      <c r="K54" s="41" t="s">
        <v>144</v>
      </c>
    </row>
    <row r="55" spans="1:11" ht="13">
      <c r="A55" s="42" t="s">
        <v>231</v>
      </c>
      <c r="B55" s="42" t="s">
        <v>232</v>
      </c>
      <c r="D55" s="46"/>
      <c r="E55" s="46"/>
      <c r="F55" s="42" t="s">
        <v>92</v>
      </c>
      <c r="G55" s="42" t="s">
        <v>182</v>
      </c>
      <c r="H55" s="42" t="s">
        <v>46</v>
      </c>
      <c r="I55" s="42" t="s">
        <v>94</v>
      </c>
      <c r="K55" s="42" t="s">
        <v>96</v>
      </c>
    </row>
    <row r="56" spans="1:11" ht="13">
      <c r="A56" s="42" t="s">
        <v>233</v>
      </c>
      <c r="B56" s="42" t="s">
        <v>234</v>
      </c>
      <c r="D56" s="46"/>
      <c r="E56" s="46"/>
      <c r="F56" s="42" t="s">
        <v>92</v>
      </c>
      <c r="G56" s="42" t="s">
        <v>152</v>
      </c>
      <c r="H56" s="42" t="s">
        <v>46</v>
      </c>
      <c r="I56" s="42" t="s">
        <v>94</v>
      </c>
      <c r="K56" s="42" t="s">
        <v>96</v>
      </c>
    </row>
    <row r="57" spans="1:11" ht="13">
      <c r="A57" s="42" t="s">
        <v>235</v>
      </c>
      <c r="B57" s="42" t="s">
        <v>236</v>
      </c>
      <c r="D57" s="46"/>
      <c r="E57" s="46"/>
      <c r="F57" s="42" t="s">
        <v>92</v>
      </c>
      <c r="G57" s="42" t="s">
        <v>160</v>
      </c>
      <c r="H57" s="42" t="s">
        <v>18</v>
      </c>
      <c r="I57" s="42" t="s">
        <v>94</v>
      </c>
      <c r="K57" s="42" t="s">
        <v>96</v>
      </c>
    </row>
    <row r="58" spans="1:11" ht="13">
      <c r="A58" s="42" t="s">
        <v>237</v>
      </c>
      <c r="B58" s="42" t="s">
        <v>238</v>
      </c>
      <c r="D58" s="46"/>
      <c r="E58" s="46"/>
      <c r="F58" s="42" t="s">
        <v>92</v>
      </c>
      <c r="G58" s="42" t="s">
        <v>239</v>
      </c>
      <c r="H58" s="42" t="s">
        <v>18</v>
      </c>
      <c r="I58" s="42" t="s">
        <v>94</v>
      </c>
      <c r="J58" s="42" t="s">
        <v>95</v>
      </c>
      <c r="K58" s="42" t="s">
        <v>96</v>
      </c>
    </row>
    <row r="59" spans="1:11" ht="13">
      <c r="A59" s="42" t="s">
        <v>240</v>
      </c>
      <c r="B59" s="42" t="s">
        <v>241</v>
      </c>
      <c r="D59" s="46"/>
      <c r="E59" s="46"/>
      <c r="F59" s="42" t="s">
        <v>92</v>
      </c>
      <c r="G59" s="42" t="s">
        <v>242</v>
      </c>
      <c r="H59" s="42" t="s">
        <v>15</v>
      </c>
      <c r="I59" s="42" t="s">
        <v>94</v>
      </c>
      <c r="K59" s="42" t="s">
        <v>96</v>
      </c>
    </row>
    <row r="60" spans="1:11" ht="13">
      <c r="A60" s="42" t="s">
        <v>243</v>
      </c>
      <c r="B60" s="42" t="s">
        <v>244</v>
      </c>
      <c r="D60" s="46"/>
      <c r="E60" s="46"/>
      <c r="F60" s="42" t="s">
        <v>92</v>
      </c>
      <c r="G60" s="42" t="s">
        <v>166</v>
      </c>
      <c r="H60" s="42" t="s">
        <v>36</v>
      </c>
      <c r="I60" s="42" t="s">
        <v>94</v>
      </c>
      <c r="K60" s="42" t="s">
        <v>96</v>
      </c>
    </row>
    <row r="61" spans="1:11" ht="13">
      <c r="A61" s="42" t="s">
        <v>245</v>
      </c>
      <c r="B61" s="42" t="s">
        <v>246</v>
      </c>
      <c r="D61" s="46"/>
      <c r="E61" s="46"/>
      <c r="F61" s="42" t="s">
        <v>92</v>
      </c>
      <c r="G61" s="42" t="s">
        <v>247</v>
      </c>
      <c r="H61" s="42" t="s">
        <v>36</v>
      </c>
      <c r="I61" s="42" t="s">
        <v>94</v>
      </c>
      <c r="J61" s="42" t="s">
        <v>95</v>
      </c>
      <c r="K61" s="42" t="s">
        <v>96</v>
      </c>
    </row>
    <row r="62" spans="1:11" ht="13">
      <c r="A62" s="42" t="s">
        <v>248</v>
      </c>
      <c r="B62" s="42" t="s">
        <v>249</v>
      </c>
      <c r="D62" s="46"/>
      <c r="E62" s="46"/>
      <c r="F62" s="42" t="s">
        <v>92</v>
      </c>
      <c r="G62" s="42" t="s">
        <v>115</v>
      </c>
      <c r="H62" s="42" t="s">
        <v>25</v>
      </c>
      <c r="I62" s="42" t="s">
        <v>94</v>
      </c>
      <c r="K62" s="42" t="s">
        <v>96</v>
      </c>
    </row>
    <row r="63" spans="1:11" ht="13">
      <c r="A63" s="42" t="s">
        <v>250</v>
      </c>
      <c r="B63" s="42" t="s">
        <v>251</v>
      </c>
      <c r="D63" s="46"/>
      <c r="E63" s="46"/>
      <c r="F63" s="42" t="s">
        <v>92</v>
      </c>
      <c r="G63" s="42" t="s">
        <v>182</v>
      </c>
      <c r="H63" s="42" t="s">
        <v>49</v>
      </c>
      <c r="I63" s="42" t="s">
        <v>94</v>
      </c>
      <c r="K63" s="42" t="s">
        <v>96</v>
      </c>
    </row>
    <row r="64" spans="1:11" ht="13">
      <c r="A64" s="42" t="s">
        <v>126</v>
      </c>
      <c r="B64" s="42" t="s">
        <v>127</v>
      </c>
      <c r="D64" s="46"/>
      <c r="E64" s="46"/>
      <c r="F64" s="42" t="s">
        <v>92</v>
      </c>
      <c r="G64" s="42" t="s">
        <v>252</v>
      </c>
      <c r="H64" s="42" t="s">
        <v>49</v>
      </c>
      <c r="I64" s="42" t="s">
        <v>94</v>
      </c>
      <c r="K64" s="42" t="s">
        <v>96</v>
      </c>
    </row>
    <row r="65" spans="1:11" ht="13">
      <c r="A65" s="42" t="s">
        <v>253</v>
      </c>
      <c r="B65" s="42" t="s">
        <v>254</v>
      </c>
      <c r="D65" s="46"/>
      <c r="E65" s="46"/>
      <c r="F65" s="42" t="s">
        <v>92</v>
      </c>
      <c r="G65" s="42" t="s">
        <v>189</v>
      </c>
      <c r="H65" s="42" t="s">
        <v>14</v>
      </c>
      <c r="I65" s="42" t="s">
        <v>94</v>
      </c>
    </row>
    <row r="66" spans="1:11" ht="13">
      <c r="A66" s="42" t="s">
        <v>255</v>
      </c>
      <c r="B66" s="42" t="s">
        <v>256</v>
      </c>
      <c r="D66" s="46"/>
      <c r="E66" s="46"/>
      <c r="F66" s="42" t="s">
        <v>92</v>
      </c>
      <c r="G66" s="42" t="s">
        <v>257</v>
      </c>
      <c r="H66" s="42" t="s">
        <v>14</v>
      </c>
      <c r="I66" s="42" t="s">
        <v>94</v>
      </c>
    </row>
    <row r="67" spans="1:11" ht="13">
      <c r="A67" s="42" t="s">
        <v>258</v>
      </c>
      <c r="B67" s="42" t="s">
        <v>254</v>
      </c>
      <c r="D67" s="46"/>
      <c r="E67" s="46"/>
      <c r="F67" s="42" t="s">
        <v>92</v>
      </c>
      <c r="G67" s="42" t="s">
        <v>259</v>
      </c>
      <c r="H67" s="42" t="s">
        <v>19</v>
      </c>
      <c r="I67" s="42" t="s">
        <v>94</v>
      </c>
    </row>
    <row r="68" spans="1:11" ht="13">
      <c r="A68" s="42" t="s">
        <v>260</v>
      </c>
      <c r="B68" s="42" t="s">
        <v>261</v>
      </c>
      <c r="D68" s="46"/>
      <c r="E68" s="46"/>
      <c r="F68" s="42" t="s">
        <v>92</v>
      </c>
      <c r="G68" s="42" t="s">
        <v>262</v>
      </c>
      <c r="H68" s="42" t="s">
        <v>17</v>
      </c>
      <c r="I68" s="42" t="s">
        <v>94</v>
      </c>
      <c r="K68" s="41" t="s">
        <v>144</v>
      </c>
    </row>
    <row r="69" spans="1:11" ht="13">
      <c r="A69" s="42" t="s">
        <v>263</v>
      </c>
      <c r="B69" s="42" t="s">
        <v>264</v>
      </c>
      <c r="D69" s="46"/>
      <c r="E69" s="46"/>
      <c r="F69" s="42" t="s">
        <v>92</v>
      </c>
      <c r="G69" s="42" t="s">
        <v>109</v>
      </c>
      <c r="H69" s="42" t="s">
        <v>29</v>
      </c>
      <c r="I69" s="42" t="s">
        <v>265</v>
      </c>
      <c r="K69" s="42" t="s">
        <v>96</v>
      </c>
    </row>
    <row r="70" spans="1:11" ht="13">
      <c r="A70" s="42" t="s">
        <v>224</v>
      </c>
      <c r="B70" s="42" t="s">
        <v>266</v>
      </c>
      <c r="D70" s="46"/>
      <c r="E70" s="46"/>
      <c r="F70" s="42" t="s">
        <v>92</v>
      </c>
      <c r="G70" s="42" t="s">
        <v>267</v>
      </c>
      <c r="H70" s="42" t="s">
        <v>23</v>
      </c>
      <c r="I70" s="42" t="s">
        <v>94</v>
      </c>
      <c r="K70" s="42" t="s">
        <v>96</v>
      </c>
    </row>
    <row r="71" spans="1:11" ht="13">
      <c r="A71" s="42" t="s">
        <v>268</v>
      </c>
      <c r="B71" s="42" t="s">
        <v>269</v>
      </c>
      <c r="D71" s="46"/>
      <c r="E71" s="46"/>
      <c r="F71" s="42" t="s">
        <v>92</v>
      </c>
      <c r="G71" s="42" t="s">
        <v>115</v>
      </c>
      <c r="H71" s="42" t="s">
        <v>20</v>
      </c>
      <c r="I71" s="42" t="s">
        <v>94</v>
      </c>
      <c r="K71" s="42" t="s">
        <v>96</v>
      </c>
    </row>
    <row r="72" spans="1:11" ht="13">
      <c r="A72" s="42" t="s">
        <v>270</v>
      </c>
      <c r="B72" s="42" t="s">
        <v>271</v>
      </c>
      <c r="D72" s="46"/>
      <c r="E72" s="46"/>
      <c r="F72" s="42" t="s">
        <v>92</v>
      </c>
      <c r="G72" s="42" t="s">
        <v>160</v>
      </c>
      <c r="H72" s="42" t="s">
        <v>37</v>
      </c>
      <c r="I72" s="42" t="s">
        <v>94</v>
      </c>
      <c r="K72" s="42" t="s">
        <v>96</v>
      </c>
    </row>
    <row r="73" spans="1:11" ht="13">
      <c r="A73" s="42" t="s">
        <v>183</v>
      </c>
      <c r="B73" s="42" t="s">
        <v>184</v>
      </c>
      <c r="D73" s="46"/>
      <c r="E73" s="46"/>
      <c r="F73" s="42" t="s">
        <v>92</v>
      </c>
      <c r="G73" s="42" t="s">
        <v>115</v>
      </c>
      <c r="H73" s="42" t="s">
        <v>22</v>
      </c>
      <c r="I73" s="42" t="s">
        <v>94</v>
      </c>
      <c r="K73" s="41" t="s">
        <v>144</v>
      </c>
    </row>
    <row r="74" spans="1:11" ht="13">
      <c r="A74" s="42" t="s">
        <v>113</v>
      </c>
      <c r="B74" s="42" t="s">
        <v>114</v>
      </c>
      <c r="D74" s="46"/>
      <c r="E74" s="46"/>
      <c r="F74" s="42" t="s">
        <v>92</v>
      </c>
      <c r="G74" s="42" t="s">
        <v>115</v>
      </c>
      <c r="H74" s="42" t="s">
        <v>22</v>
      </c>
      <c r="I74" s="42" t="s">
        <v>94</v>
      </c>
      <c r="K74" s="41" t="s">
        <v>144</v>
      </c>
    </row>
    <row r="75" spans="1:11" ht="13">
      <c r="A75" s="42" t="s">
        <v>272</v>
      </c>
      <c r="B75" s="42" t="s">
        <v>273</v>
      </c>
      <c r="D75" s="46"/>
      <c r="E75" s="46"/>
      <c r="F75" s="42" t="s">
        <v>92</v>
      </c>
      <c r="G75" s="42" t="s">
        <v>115</v>
      </c>
      <c r="H75" s="42" t="s">
        <v>40</v>
      </c>
      <c r="I75" s="42" t="s">
        <v>94</v>
      </c>
      <c r="K75" s="42" t="s">
        <v>96</v>
      </c>
    </row>
    <row r="76" spans="1:11" ht="13">
      <c r="A76" s="42" t="s">
        <v>274</v>
      </c>
      <c r="B76" s="42" t="s">
        <v>275</v>
      </c>
      <c r="D76" s="46"/>
      <c r="E76" s="46"/>
      <c r="F76" s="42" t="s">
        <v>92</v>
      </c>
      <c r="G76" s="42" t="s">
        <v>109</v>
      </c>
      <c r="H76" s="42" t="s">
        <v>40</v>
      </c>
      <c r="I76" s="42" t="s">
        <v>94</v>
      </c>
      <c r="K76" s="42" t="s">
        <v>96</v>
      </c>
    </row>
    <row r="77" spans="1:11" ht="13">
      <c r="A77" s="42" t="s">
        <v>276</v>
      </c>
      <c r="B77" s="42" t="s">
        <v>277</v>
      </c>
      <c r="D77" s="46"/>
      <c r="E77" s="46"/>
      <c r="F77" s="42" t="s">
        <v>92</v>
      </c>
      <c r="G77" s="42" t="s">
        <v>169</v>
      </c>
      <c r="H77" s="42" t="s">
        <v>12</v>
      </c>
      <c r="I77" s="42" t="s">
        <v>94</v>
      </c>
      <c r="K77" s="41" t="s">
        <v>144</v>
      </c>
    </row>
    <row r="78" spans="1:11" ht="13">
      <c r="A78" s="42" t="s">
        <v>278</v>
      </c>
      <c r="B78" s="42" t="s">
        <v>279</v>
      </c>
      <c r="D78" s="46"/>
      <c r="E78" s="46"/>
      <c r="F78" s="42" t="s">
        <v>92</v>
      </c>
      <c r="G78" s="42" t="s">
        <v>280</v>
      </c>
      <c r="H78" s="42" t="s">
        <v>52</v>
      </c>
      <c r="I78" s="42" t="s">
        <v>94</v>
      </c>
      <c r="K78" s="42" t="s">
        <v>96</v>
      </c>
    </row>
    <row r="79" spans="1:11" ht="13">
      <c r="A79" s="42" t="s">
        <v>281</v>
      </c>
      <c r="B79" s="42" t="s">
        <v>282</v>
      </c>
      <c r="D79" s="46"/>
      <c r="E79" s="46"/>
      <c r="F79" s="42" t="s">
        <v>92</v>
      </c>
      <c r="G79" s="42" t="s">
        <v>283</v>
      </c>
      <c r="H79" s="42" t="s">
        <v>52</v>
      </c>
      <c r="I79" s="42" t="s">
        <v>94</v>
      </c>
      <c r="K79" s="42" t="s">
        <v>96</v>
      </c>
    </row>
    <row r="80" spans="1:11" ht="13">
      <c r="A80" s="42" t="s">
        <v>190</v>
      </c>
      <c r="B80" s="42" t="s">
        <v>108</v>
      </c>
      <c r="D80" s="46"/>
      <c r="E80" s="46"/>
      <c r="F80" s="42" t="s">
        <v>92</v>
      </c>
      <c r="G80" s="42" t="s">
        <v>169</v>
      </c>
      <c r="H80" s="42" t="s">
        <v>28</v>
      </c>
      <c r="I80" s="42" t="s">
        <v>94</v>
      </c>
      <c r="K80" s="42" t="s">
        <v>96</v>
      </c>
    </row>
    <row r="81" spans="1:11" ht="13">
      <c r="A81" s="42" t="s">
        <v>248</v>
      </c>
      <c r="B81" s="42" t="s">
        <v>249</v>
      </c>
      <c r="D81" s="46"/>
      <c r="E81" s="46"/>
      <c r="F81" s="42" t="s">
        <v>92</v>
      </c>
      <c r="G81" s="42" t="s">
        <v>115</v>
      </c>
      <c r="H81" s="42" t="s">
        <v>27</v>
      </c>
      <c r="I81" s="42" t="s">
        <v>94</v>
      </c>
      <c r="K81" s="41" t="s">
        <v>144</v>
      </c>
    </row>
    <row r="82" spans="1:11" ht="13">
      <c r="A82" s="42" t="s">
        <v>284</v>
      </c>
      <c r="B82" s="42" t="s">
        <v>285</v>
      </c>
      <c r="D82" s="46"/>
      <c r="E82" s="46"/>
      <c r="F82" s="42" t="s">
        <v>92</v>
      </c>
      <c r="G82" s="42" t="s">
        <v>286</v>
      </c>
      <c r="H82" s="42" t="s">
        <v>33</v>
      </c>
      <c r="I82" s="42" t="s">
        <v>94</v>
      </c>
      <c r="K82" s="42" t="s">
        <v>96</v>
      </c>
    </row>
    <row r="83" spans="1:11" ht="13">
      <c r="A83" s="42" t="s">
        <v>287</v>
      </c>
      <c r="B83" s="42" t="s">
        <v>230</v>
      </c>
      <c r="D83" s="46"/>
      <c r="E83" s="46"/>
      <c r="F83" s="42" t="s">
        <v>92</v>
      </c>
      <c r="G83" s="42" t="s">
        <v>109</v>
      </c>
      <c r="H83" s="42" t="s">
        <v>38</v>
      </c>
      <c r="I83" s="42" t="s">
        <v>94</v>
      </c>
      <c r="K83" s="42" t="s">
        <v>96</v>
      </c>
    </row>
    <row r="84" spans="1:11" ht="13">
      <c r="A84" s="42" t="s">
        <v>288</v>
      </c>
      <c r="B84" s="42" t="s">
        <v>289</v>
      </c>
      <c r="D84" s="46"/>
      <c r="E84" s="46"/>
      <c r="F84" s="42" t="s">
        <v>92</v>
      </c>
      <c r="G84" s="42" t="s">
        <v>189</v>
      </c>
      <c r="H84" s="42" t="s">
        <v>35</v>
      </c>
      <c r="I84" s="42" t="s">
        <v>94</v>
      </c>
      <c r="K84" s="42" t="s">
        <v>96</v>
      </c>
    </row>
    <row r="85" spans="1:11" ht="13">
      <c r="A85" s="42" t="s">
        <v>290</v>
      </c>
      <c r="B85" s="42" t="s">
        <v>291</v>
      </c>
      <c r="D85" s="46"/>
      <c r="E85" s="46"/>
      <c r="F85" s="42" t="s">
        <v>92</v>
      </c>
      <c r="G85" s="42" t="s">
        <v>118</v>
      </c>
      <c r="H85" s="42" t="s">
        <v>35</v>
      </c>
      <c r="I85" s="42" t="s">
        <v>94</v>
      </c>
      <c r="K85" s="42" t="s">
        <v>96</v>
      </c>
    </row>
    <row r="86" spans="1:11" ht="13">
      <c r="A86" s="42" t="s">
        <v>292</v>
      </c>
      <c r="B86" s="42" t="s">
        <v>293</v>
      </c>
      <c r="D86" s="46"/>
      <c r="E86" s="46"/>
      <c r="F86" s="42" t="s">
        <v>92</v>
      </c>
      <c r="G86" s="42" t="s">
        <v>294</v>
      </c>
      <c r="H86" s="42" t="s">
        <v>54</v>
      </c>
      <c r="I86" s="42" t="s">
        <v>94</v>
      </c>
      <c r="K86" s="42" t="s">
        <v>96</v>
      </c>
    </row>
    <row r="87" spans="1:11" ht="13">
      <c r="A87" s="42" t="s">
        <v>295</v>
      </c>
      <c r="B87" s="42" t="s">
        <v>296</v>
      </c>
      <c r="C87" s="42" t="s">
        <v>297</v>
      </c>
      <c r="D87" s="46"/>
      <c r="E87" s="46"/>
      <c r="F87" s="42" t="s">
        <v>92</v>
      </c>
      <c r="G87" s="42" t="s">
        <v>115</v>
      </c>
      <c r="H87" s="42" t="s">
        <v>54</v>
      </c>
      <c r="I87" s="42" t="s">
        <v>94</v>
      </c>
      <c r="K87" s="42" t="s">
        <v>96</v>
      </c>
    </row>
    <row r="88" spans="1:11" ht="13">
      <c r="A88" s="42" t="s">
        <v>298</v>
      </c>
      <c r="B88" s="42" t="s">
        <v>299</v>
      </c>
      <c r="D88" s="46"/>
      <c r="E88" s="46"/>
      <c r="F88" s="42" t="s">
        <v>92</v>
      </c>
      <c r="G88" s="42" t="s">
        <v>115</v>
      </c>
      <c r="H88" s="42" t="s">
        <v>56</v>
      </c>
      <c r="I88" s="42" t="s">
        <v>94</v>
      </c>
      <c r="K88" s="42" t="s">
        <v>96</v>
      </c>
    </row>
    <row r="89" spans="1:11" ht="13">
      <c r="A89" s="42" t="s">
        <v>300</v>
      </c>
      <c r="B89" s="42" t="s">
        <v>301</v>
      </c>
      <c r="D89" s="46"/>
      <c r="E89" s="46"/>
      <c r="F89" s="42" t="s">
        <v>92</v>
      </c>
      <c r="G89" s="42" t="s">
        <v>115</v>
      </c>
      <c r="H89" s="42" t="s">
        <v>56</v>
      </c>
      <c r="I89" s="42" t="s">
        <v>94</v>
      </c>
      <c r="K89" s="42" t="s">
        <v>96</v>
      </c>
    </row>
    <row r="90" spans="1:11" ht="13">
      <c r="A90" s="42" t="s">
        <v>302</v>
      </c>
      <c r="B90" s="42" t="s">
        <v>217</v>
      </c>
      <c r="D90" s="46"/>
      <c r="E90" s="46"/>
      <c r="F90" s="42" t="s">
        <v>92</v>
      </c>
      <c r="G90" s="42" t="s">
        <v>267</v>
      </c>
      <c r="H90" s="42" t="s">
        <v>24</v>
      </c>
      <c r="I90" s="42" t="s">
        <v>94</v>
      </c>
      <c r="K90" s="42" t="s">
        <v>96</v>
      </c>
    </row>
    <row r="91" spans="1:11" ht="13">
      <c r="A91" s="42" t="s">
        <v>303</v>
      </c>
      <c r="B91" s="42" t="s">
        <v>304</v>
      </c>
      <c r="D91" s="46"/>
      <c r="E91" s="46"/>
      <c r="F91" s="42" t="s">
        <v>92</v>
      </c>
      <c r="G91" s="42" t="s">
        <v>152</v>
      </c>
      <c r="H91" s="42" t="s">
        <v>39</v>
      </c>
      <c r="I91" s="42" t="s">
        <v>94</v>
      </c>
      <c r="K91" s="42" t="s">
        <v>96</v>
      </c>
    </row>
    <row r="92" spans="1:11" ht="13">
      <c r="A92" s="48" t="s">
        <v>305</v>
      </c>
      <c r="B92" s="42" t="s">
        <v>306</v>
      </c>
      <c r="D92" s="46"/>
      <c r="E92" s="46"/>
      <c r="F92" s="42" t="s">
        <v>92</v>
      </c>
      <c r="G92" s="42" t="s">
        <v>143</v>
      </c>
      <c r="H92" s="42" t="s">
        <v>39</v>
      </c>
      <c r="I92" s="42" t="s">
        <v>94</v>
      </c>
      <c r="K92" s="42" t="s">
        <v>96</v>
      </c>
    </row>
    <row r="93" spans="1:11" ht="13">
      <c r="A93" s="42" t="s">
        <v>307</v>
      </c>
      <c r="B93" s="42" t="s">
        <v>308</v>
      </c>
      <c r="D93" s="46"/>
      <c r="E93" s="46"/>
      <c r="F93" s="42" t="s">
        <v>92</v>
      </c>
      <c r="G93" s="42" t="s">
        <v>152</v>
      </c>
      <c r="H93" s="42" t="s">
        <v>309</v>
      </c>
      <c r="I93" s="42" t="s">
        <v>94</v>
      </c>
      <c r="K93" s="42" t="s">
        <v>96</v>
      </c>
    </row>
    <row r="94" spans="1:11" ht="13">
      <c r="A94" s="42" t="s">
        <v>310</v>
      </c>
      <c r="B94" s="42" t="s">
        <v>311</v>
      </c>
      <c r="D94" s="46"/>
      <c r="E94" s="46"/>
      <c r="F94" s="42" t="s">
        <v>92</v>
      </c>
      <c r="G94" s="42" t="s">
        <v>179</v>
      </c>
      <c r="H94" s="42" t="s">
        <v>309</v>
      </c>
      <c r="I94" s="42" t="s">
        <v>94</v>
      </c>
      <c r="K94" s="42" t="s">
        <v>96</v>
      </c>
    </row>
    <row r="95" spans="1:11" ht="13">
      <c r="A95" s="42" t="s">
        <v>312</v>
      </c>
      <c r="B95" s="42" t="s">
        <v>313</v>
      </c>
      <c r="D95" s="46"/>
      <c r="E95" s="46"/>
      <c r="F95" s="42" t="s">
        <v>92</v>
      </c>
      <c r="G95" s="42" t="s">
        <v>143</v>
      </c>
      <c r="H95" s="42" t="s">
        <v>45</v>
      </c>
      <c r="I95" s="42" t="s">
        <v>94</v>
      </c>
      <c r="K95" s="42" t="s">
        <v>96</v>
      </c>
    </row>
    <row r="96" spans="1:11" ht="13">
      <c r="A96" s="42" t="s">
        <v>314</v>
      </c>
      <c r="B96" s="42" t="s">
        <v>315</v>
      </c>
      <c r="D96" s="46"/>
      <c r="E96" s="46"/>
      <c r="F96" s="42" t="s">
        <v>92</v>
      </c>
      <c r="G96" s="42" t="s">
        <v>152</v>
      </c>
      <c r="H96" s="42" t="s">
        <v>48</v>
      </c>
      <c r="I96" s="42" t="s">
        <v>94</v>
      </c>
      <c r="K96" s="42" t="s">
        <v>96</v>
      </c>
    </row>
    <row r="97" spans="1:11" ht="13">
      <c r="A97" s="42" t="s">
        <v>214</v>
      </c>
      <c r="B97" s="42" t="s">
        <v>215</v>
      </c>
      <c r="D97" s="46"/>
      <c r="E97" s="46"/>
      <c r="F97" s="42" t="s">
        <v>92</v>
      </c>
      <c r="G97" s="42" t="s">
        <v>152</v>
      </c>
      <c r="H97" s="42" t="s">
        <v>48</v>
      </c>
      <c r="I97" s="42" t="s">
        <v>94</v>
      </c>
      <c r="K97" s="42" t="s">
        <v>96</v>
      </c>
    </row>
    <row r="98" spans="1:11" ht="13">
      <c r="A98" s="42" t="s">
        <v>129</v>
      </c>
      <c r="B98" s="42" t="s">
        <v>130</v>
      </c>
      <c r="D98" s="46"/>
      <c r="E98" s="46"/>
      <c r="F98" s="42" t="s">
        <v>92</v>
      </c>
      <c r="G98" s="42" t="s">
        <v>115</v>
      </c>
      <c r="H98" s="42" t="s">
        <v>6</v>
      </c>
      <c r="I98" s="42" t="s">
        <v>94</v>
      </c>
      <c r="J98" s="42" t="s">
        <v>95</v>
      </c>
      <c r="K98" s="42" t="s">
        <v>96</v>
      </c>
    </row>
    <row r="99" spans="1:11" ht="13">
      <c r="A99" s="42" t="s">
        <v>316</v>
      </c>
      <c r="B99" s="42" t="s">
        <v>317</v>
      </c>
      <c r="D99" s="46"/>
      <c r="E99" s="46"/>
      <c r="F99" s="42" t="s">
        <v>92</v>
      </c>
      <c r="G99" s="42" t="s">
        <v>152</v>
      </c>
      <c r="H99" s="42" t="s">
        <v>318</v>
      </c>
      <c r="I99" s="42" t="s">
        <v>94</v>
      </c>
      <c r="K99" s="42" t="s">
        <v>96</v>
      </c>
    </row>
    <row r="100" spans="1:11" ht="13">
      <c r="A100" s="42" t="s">
        <v>129</v>
      </c>
      <c r="B100" s="42" t="s">
        <v>130</v>
      </c>
      <c r="D100" s="46"/>
      <c r="E100" s="46"/>
      <c r="F100" s="42" t="s">
        <v>92</v>
      </c>
      <c r="G100" s="42" t="s">
        <v>115</v>
      </c>
      <c r="H100" s="42" t="s">
        <v>318</v>
      </c>
      <c r="I100" s="42" t="s">
        <v>94</v>
      </c>
      <c r="K100" s="42" t="s">
        <v>96</v>
      </c>
    </row>
    <row r="101" spans="1:11" ht="13">
      <c r="A101" s="42" t="s">
        <v>319</v>
      </c>
      <c r="B101" s="42" t="s">
        <v>320</v>
      </c>
      <c r="D101" s="46"/>
      <c r="E101" s="46"/>
      <c r="F101" s="42" t="s">
        <v>92</v>
      </c>
      <c r="G101" s="42" t="s">
        <v>115</v>
      </c>
      <c r="H101" s="42" t="s">
        <v>318</v>
      </c>
      <c r="I101" s="42" t="s">
        <v>94</v>
      </c>
      <c r="K101" s="42" t="s">
        <v>96</v>
      </c>
    </row>
    <row r="102" spans="1:11" ht="13">
      <c r="A102" s="42" t="s">
        <v>321</v>
      </c>
      <c r="B102" s="42" t="s">
        <v>322</v>
      </c>
      <c r="D102" s="46"/>
      <c r="E102" s="46"/>
      <c r="F102" s="42" t="s">
        <v>92</v>
      </c>
      <c r="G102" s="42" t="s">
        <v>121</v>
      </c>
      <c r="H102" s="42" t="s">
        <v>57</v>
      </c>
      <c r="I102" s="42" t="s">
        <v>94</v>
      </c>
      <c r="K102" s="42" t="s">
        <v>96</v>
      </c>
    </row>
    <row r="103" spans="1:11" ht="13">
      <c r="A103" s="42" t="s">
        <v>316</v>
      </c>
      <c r="B103" s="42" t="s">
        <v>317</v>
      </c>
      <c r="D103" s="46"/>
      <c r="E103" s="46"/>
      <c r="F103" s="42" t="s">
        <v>92</v>
      </c>
      <c r="G103" s="42" t="s">
        <v>152</v>
      </c>
      <c r="H103" s="42" t="s">
        <v>57</v>
      </c>
      <c r="I103" s="42" t="s">
        <v>94</v>
      </c>
      <c r="K103" s="42" t="s">
        <v>96</v>
      </c>
    </row>
    <row r="104" spans="1:11" ht="13">
      <c r="A104" s="42" t="s">
        <v>110</v>
      </c>
      <c r="B104" s="42" t="s">
        <v>111</v>
      </c>
      <c r="D104" s="46"/>
      <c r="E104" s="46"/>
      <c r="F104" s="42" t="s">
        <v>92</v>
      </c>
      <c r="G104" s="42" t="s">
        <v>112</v>
      </c>
      <c r="H104" s="42" t="s">
        <v>323</v>
      </c>
      <c r="I104" s="42" t="s">
        <v>94</v>
      </c>
      <c r="K104" s="42" t="s">
        <v>96</v>
      </c>
    </row>
    <row r="105" spans="1:11" ht="13">
      <c r="A105" s="42" t="s">
        <v>324</v>
      </c>
      <c r="B105" s="42" t="s">
        <v>325</v>
      </c>
      <c r="D105" s="46"/>
      <c r="E105" s="46"/>
      <c r="F105" s="42" t="s">
        <v>92</v>
      </c>
      <c r="G105" s="42" t="s">
        <v>326</v>
      </c>
      <c r="H105" s="42" t="s">
        <v>51</v>
      </c>
      <c r="I105" s="42" t="s">
        <v>94</v>
      </c>
      <c r="J105" s="42" t="s">
        <v>327</v>
      </c>
      <c r="K105" s="42" t="s">
        <v>96</v>
      </c>
    </row>
    <row r="106" spans="1:11" ht="13">
      <c r="A106" s="41" t="s">
        <v>328</v>
      </c>
      <c r="B106" s="41" t="s">
        <v>329</v>
      </c>
      <c r="C106" s="34"/>
      <c r="D106" s="40"/>
      <c r="E106" s="40"/>
      <c r="F106" s="34" t="s">
        <v>92</v>
      </c>
      <c r="G106" s="41" t="s">
        <v>109</v>
      </c>
      <c r="H106" s="34" t="s">
        <v>51</v>
      </c>
      <c r="I106" s="34" t="s">
        <v>94</v>
      </c>
      <c r="J106" s="34" t="s">
        <v>327</v>
      </c>
      <c r="K106" s="34" t="s">
        <v>96</v>
      </c>
    </row>
    <row r="107" spans="1:11" ht="13">
      <c r="A107" s="41" t="s">
        <v>321</v>
      </c>
      <c r="B107" s="41" t="s">
        <v>322</v>
      </c>
      <c r="C107" s="34"/>
      <c r="D107" s="40"/>
      <c r="E107" s="40"/>
      <c r="F107" s="34" t="s">
        <v>92</v>
      </c>
      <c r="G107" s="41" t="s">
        <v>121</v>
      </c>
      <c r="H107" s="34" t="s">
        <v>51</v>
      </c>
      <c r="I107" s="34" t="s">
        <v>94</v>
      </c>
      <c r="J107" s="41" t="s">
        <v>330</v>
      </c>
      <c r="K107" s="34" t="s">
        <v>96</v>
      </c>
    </row>
    <row r="108" spans="1:11" ht="13">
      <c r="A108" s="41" t="s">
        <v>331</v>
      </c>
      <c r="B108" s="41" t="s">
        <v>332</v>
      </c>
      <c r="C108" s="34"/>
      <c r="D108" s="40"/>
      <c r="E108" s="40"/>
      <c r="F108" s="34" t="s">
        <v>92</v>
      </c>
      <c r="G108" s="41" t="s">
        <v>333</v>
      </c>
      <c r="H108" s="34" t="s">
        <v>51</v>
      </c>
      <c r="I108" s="34" t="s">
        <v>94</v>
      </c>
      <c r="J108" s="41" t="s">
        <v>334</v>
      </c>
      <c r="K108" s="34" t="s">
        <v>96</v>
      </c>
    </row>
    <row r="109" spans="1:11" ht="13">
      <c r="A109" s="41" t="s">
        <v>335</v>
      </c>
      <c r="B109" s="41" t="s">
        <v>336</v>
      </c>
      <c r="C109" s="34"/>
      <c r="D109" s="40"/>
      <c r="E109" s="40"/>
      <c r="F109" s="34" t="s">
        <v>92</v>
      </c>
      <c r="G109" s="41" t="s">
        <v>143</v>
      </c>
      <c r="H109" s="34" t="s">
        <v>51</v>
      </c>
      <c r="I109" s="34" t="s">
        <v>94</v>
      </c>
      <c r="J109" s="41" t="s">
        <v>337</v>
      </c>
      <c r="K109" s="34" t="s">
        <v>96</v>
      </c>
    </row>
    <row r="110" spans="1:11" ht="13">
      <c r="A110" s="41" t="s">
        <v>110</v>
      </c>
      <c r="B110" s="41" t="s">
        <v>111</v>
      </c>
      <c r="C110" s="34"/>
      <c r="D110" s="40"/>
      <c r="E110" s="40"/>
      <c r="F110" s="34" t="s">
        <v>92</v>
      </c>
      <c r="G110" s="41" t="s">
        <v>112</v>
      </c>
      <c r="H110" s="34" t="s">
        <v>51</v>
      </c>
      <c r="I110" s="34" t="s">
        <v>94</v>
      </c>
      <c r="J110" s="41" t="s">
        <v>338</v>
      </c>
      <c r="K110" s="34" t="s">
        <v>96</v>
      </c>
    </row>
    <row r="111" spans="1:11" ht="13">
      <c r="A111" s="42" t="s">
        <v>339</v>
      </c>
      <c r="B111" s="42" t="s">
        <v>340</v>
      </c>
      <c r="D111" s="46"/>
      <c r="E111" s="46"/>
      <c r="F111" s="42" t="s">
        <v>92</v>
      </c>
      <c r="G111" s="42" t="s">
        <v>169</v>
      </c>
      <c r="H111" s="42" t="s">
        <v>51</v>
      </c>
      <c r="I111" s="42" t="s">
        <v>94</v>
      </c>
      <c r="J111" s="42" t="s">
        <v>341</v>
      </c>
      <c r="K111" s="42" t="s">
        <v>96</v>
      </c>
    </row>
    <row r="112" spans="1:11" ht="13">
      <c r="A112" s="42" t="s">
        <v>342</v>
      </c>
      <c r="B112" s="42" t="s">
        <v>343</v>
      </c>
      <c r="D112" s="46"/>
      <c r="E112" s="46"/>
      <c r="F112" s="42" t="s">
        <v>92</v>
      </c>
      <c r="G112" s="42" t="s">
        <v>152</v>
      </c>
      <c r="H112" s="42" t="s">
        <v>51</v>
      </c>
      <c r="I112" s="42" t="s">
        <v>94</v>
      </c>
      <c r="J112" s="42" t="s">
        <v>344</v>
      </c>
      <c r="K112" s="42" t="s">
        <v>96</v>
      </c>
    </row>
    <row r="113" spans="1:11" ht="13">
      <c r="A113" s="42" t="s">
        <v>129</v>
      </c>
      <c r="B113" s="42" t="s">
        <v>130</v>
      </c>
      <c r="D113" s="46"/>
      <c r="E113" s="46"/>
      <c r="F113" s="42" t="s">
        <v>92</v>
      </c>
      <c r="G113" s="42" t="s">
        <v>115</v>
      </c>
      <c r="H113" s="42" t="s">
        <v>51</v>
      </c>
      <c r="I113" s="42" t="s">
        <v>94</v>
      </c>
      <c r="J113" s="42" t="s">
        <v>345</v>
      </c>
      <c r="K113" s="42" t="s">
        <v>96</v>
      </c>
    </row>
    <row r="114" spans="1:11" ht="13">
      <c r="A114" s="42" t="s">
        <v>97</v>
      </c>
      <c r="B114" s="42" t="s">
        <v>98</v>
      </c>
      <c r="D114" s="46"/>
      <c r="E114" s="46"/>
      <c r="F114" s="42" t="s">
        <v>92</v>
      </c>
      <c r="G114" s="42" t="s">
        <v>99</v>
      </c>
      <c r="H114" s="42" t="s">
        <v>60</v>
      </c>
      <c r="I114" s="42" t="s">
        <v>94</v>
      </c>
      <c r="K114" s="42" t="s">
        <v>96</v>
      </c>
    </row>
    <row r="115" spans="1:11" ht="13">
      <c r="A115" s="42" t="s">
        <v>346</v>
      </c>
      <c r="B115" s="42" t="s">
        <v>347</v>
      </c>
      <c r="D115" s="46"/>
      <c r="E115" s="46"/>
      <c r="F115" s="42" t="s">
        <v>92</v>
      </c>
      <c r="G115" s="42" t="s">
        <v>152</v>
      </c>
      <c r="H115" s="42" t="s">
        <v>60</v>
      </c>
      <c r="I115" s="42" t="s">
        <v>94</v>
      </c>
      <c r="K115" s="42" t="s">
        <v>96</v>
      </c>
    </row>
    <row r="116" spans="1:11" ht="13">
      <c r="A116" s="42" t="s">
        <v>348</v>
      </c>
      <c r="B116" s="42" t="s">
        <v>349</v>
      </c>
      <c r="D116" s="46"/>
      <c r="E116" s="46"/>
      <c r="F116" s="42" t="s">
        <v>92</v>
      </c>
      <c r="G116" s="42" t="s">
        <v>160</v>
      </c>
      <c r="H116" s="42" t="s">
        <v>42</v>
      </c>
      <c r="I116" s="42" t="s">
        <v>94</v>
      </c>
      <c r="K116" s="42" t="s">
        <v>96</v>
      </c>
    </row>
    <row r="117" spans="1:11" ht="13">
      <c r="A117" s="41" t="s">
        <v>350</v>
      </c>
      <c r="B117" s="41" t="s">
        <v>351</v>
      </c>
      <c r="C117" s="34"/>
      <c r="D117" s="40"/>
      <c r="E117" s="40"/>
      <c r="F117" s="34" t="s">
        <v>92</v>
      </c>
      <c r="G117" s="41" t="s">
        <v>152</v>
      </c>
      <c r="H117" s="34" t="s">
        <v>42</v>
      </c>
      <c r="I117" s="34" t="s">
        <v>94</v>
      </c>
      <c r="J117" s="34"/>
      <c r="K117" s="34" t="s">
        <v>96</v>
      </c>
    </row>
    <row r="118" spans="1:11" ht="13">
      <c r="A118" s="42" t="s">
        <v>352</v>
      </c>
      <c r="B118" s="42" t="s">
        <v>353</v>
      </c>
      <c r="D118" s="46"/>
      <c r="E118" s="46"/>
      <c r="F118" s="42" t="s">
        <v>92</v>
      </c>
      <c r="G118" s="42" t="s">
        <v>152</v>
      </c>
      <c r="H118" s="42" t="s">
        <v>44</v>
      </c>
      <c r="I118" s="42" t="s">
        <v>94</v>
      </c>
      <c r="K118" s="42" t="s">
        <v>96</v>
      </c>
    </row>
    <row r="119" spans="1:11" ht="13">
      <c r="A119" s="42" t="s">
        <v>354</v>
      </c>
      <c r="B119" s="42" t="s">
        <v>355</v>
      </c>
      <c r="D119" s="46"/>
      <c r="E119" s="46"/>
      <c r="F119" s="42" t="s">
        <v>92</v>
      </c>
      <c r="G119" s="42" t="s">
        <v>356</v>
      </c>
      <c r="H119" s="42" t="s">
        <v>44</v>
      </c>
      <c r="I119" s="42" t="s">
        <v>94</v>
      </c>
      <c r="K119" s="42" t="s">
        <v>96</v>
      </c>
    </row>
    <row r="120" spans="1:11" ht="18" customHeight="1">
      <c r="A120" s="42" t="s">
        <v>357</v>
      </c>
      <c r="B120" s="42" t="s">
        <v>358</v>
      </c>
      <c r="D120" s="46"/>
      <c r="E120" s="46"/>
      <c r="F120" s="42" t="s">
        <v>92</v>
      </c>
      <c r="G120" s="42" t="s">
        <v>109</v>
      </c>
      <c r="H120" s="42" t="s">
        <v>47</v>
      </c>
      <c r="I120" s="42" t="s">
        <v>94</v>
      </c>
      <c r="K120" s="42" t="s">
        <v>96</v>
      </c>
    </row>
    <row r="121" spans="1:11" ht="13">
      <c r="A121" s="42" t="s">
        <v>359</v>
      </c>
      <c r="B121" s="42" t="s">
        <v>360</v>
      </c>
      <c r="D121" s="46"/>
      <c r="E121" s="46"/>
      <c r="F121" s="42" t="s">
        <v>92</v>
      </c>
      <c r="G121" s="42" t="s">
        <v>152</v>
      </c>
      <c r="H121" s="42" t="s">
        <v>47</v>
      </c>
      <c r="I121" s="42" t="s">
        <v>94</v>
      </c>
      <c r="K121" s="42" t="s">
        <v>96</v>
      </c>
    </row>
    <row r="122" spans="1:11" ht="13">
      <c r="A122" s="42" t="s">
        <v>348</v>
      </c>
      <c r="B122" s="42" t="s">
        <v>349</v>
      </c>
      <c r="D122" s="46"/>
      <c r="E122" s="46"/>
      <c r="F122" s="42" t="s">
        <v>92</v>
      </c>
      <c r="G122" s="42" t="s">
        <v>160</v>
      </c>
      <c r="H122" s="42" t="s">
        <v>50</v>
      </c>
      <c r="I122" s="42" t="s">
        <v>94</v>
      </c>
      <c r="K122" s="42" t="s">
        <v>96</v>
      </c>
    </row>
    <row r="123" spans="1:11" ht="13">
      <c r="A123" s="42" t="s">
        <v>350</v>
      </c>
      <c r="B123" s="42" t="s">
        <v>351</v>
      </c>
      <c r="D123" s="46"/>
      <c r="E123" s="46"/>
      <c r="F123" s="42" t="s">
        <v>92</v>
      </c>
      <c r="G123" s="42" t="s">
        <v>152</v>
      </c>
      <c r="H123" s="42" t="s">
        <v>50</v>
      </c>
      <c r="I123" s="42" t="s">
        <v>94</v>
      </c>
      <c r="K123" s="42" t="s">
        <v>96</v>
      </c>
    </row>
    <row r="124" spans="1:11" ht="13">
      <c r="A124" s="42" t="s">
        <v>361</v>
      </c>
      <c r="B124" s="42" t="s">
        <v>362</v>
      </c>
      <c r="D124" s="46"/>
      <c r="E124" s="46"/>
      <c r="F124" s="42" t="s">
        <v>92</v>
      </c>
      <c r="G124" s="42" t="s">
        <v>152</v>
      </c>
      <c r="H124" s="42" t="s">
        <v>53</v>
      </c>
      <c r="I124" s="42" t="s">
        <v>94</v>
      </c>
      <c r="K124" s="42" t="s">
        <v>96</v>
      </c>
    </row>
    <row r="125" spans="1:11" ht="13">
      <c r="A125" s="42" t="s">
        <v>363</v>
      </c>
      <c r="B125" s="42" t="s">
        <v>364</v>
      </c>
      <c r="D125" s="46"/>
      <c r="E125" s="46"/>
      <c r="F125" s="42" t="s">
        <v>92</v>
      </c>
      <c r="G125" s="42" t="s">
        <v>115</v>
      </c>
      <c r="H125" s="42" t="s">
        <v>53</v>
      </c>
      <c r="I125" s="42" t="s">
        <v>94</v>
      </c>
      <c r="K125" s="42" t="s">
        <v>96</v>
      </c>
    </row>
    <row r="126" spans="1:11" ht="13">
      <c r="A126" s="42" t="s">
        <v>365</v>
      </c>
      <c r="B126" s="42" t="s">
        <v>366</v>
      </c>
      <c r="D126" s="46"/>
      <c r="E126" s="46"/>
      <c r="F126" s="42" t="s">
        <v>92</v>
      </c>
      <c r="G126" s="42" t="s">
        <v>124</v>
      </c>
      <c r="H126" s="42" t="s">
        <v>55</v>
      </c>
      <c r="I126" s="42" t="s">
        <v>94</v>
      </c>
      <c r="K126" s="42" t="s">
        <v>96</v>
      </c>
    </row>
    <row r="127" spans="1:11" ht="15.75" customHeight="1">
      <c r="A127" s="42" t="s">
        <v>367</v>
      </c>
      <c r="B127" s="42" t="s">
        <v>368</v>
      </c>
      <c r="D127" s="46"/>
      <c r="E127" s="46"/>
      <c r="F127" s="42" t="s">
        <v>92</v>
      </c>
      <c r="G127" s="42" t="s">
        <v>121</v>
      </c>
      <c r="H127" s="42" t="s">
        <v>55</v>
      </c>
      <c r="I127" s="42" t="s">
        <v>94</v>
      </c>
      <c r="K127" s="42" t="s">
        <v>96</v>
      </c>
    </row>
    <row r="128" spans="1:11" ht="13">
      <c r="A128" s="42" t="s">
        <v>197</v>
      </c>
      <c r="B128" s="42" t="s">
        <v>198</v>
      </c>
      <c r="D128" s="46"/>
      <c r="E128" s="46"/>
      <c r="F128" s="42" t="s">
        <v>92</v>
      </c>
      <c r="G128" s="42" t="s">
        <v>143</v>
      </c>
      <c r="H128" s="42" t="s">
        <v>29</v>
      </c>
      <c r="I128" s="42" t="s">
        <v>369</v>
      </c>
      <c r="J128" s="42" t="s">
        <v>370</v>
      </c>
      <c r="K128" s="42" t="s">
        <v>96</v>
      </c>
    </row>
    <row r="129" spans="1:26" ht="14">
      <c r="A129" s="42" t="s">
        <v>371</v>
      </c>
      <c r="B129" s="42" t="s">
        <v>372</v>
      </c>
      <c r="D129" s="46"/>
      <c r="E129" s="46"/>
      <c r="F129" s="42" t="s">
        <v>92</v>
      </c>
      <c r="G129" s="42" t="s">
        <v>152</v>
      </c>
      <c r="H129" s="42" t="s">
        <v>59</v>
      </c>
      <c r="I129" s="42" t="s">
        <v>94</v>
      </c>
      <c r="K129" s="42" t="s">
        <v>96</v>
      </c>
      <c r="M129" s="49"/>
    </row>
    <row r="130" spans="1:26" ht="13">
      <c r="A130" s="42" t="s">
        <v>373</v>
      </c>
      <c r="B130" s="42" t="s">
        <v>148</v>
      </c>
      <c r="D130" s="46"/>
      <c r="E130" s="46"/>
      <c r="F130" s="42" t="s">
        <v>92</v>
      </c>
      <c r="G130" s="42" t="s">
        <v>115</v>
      </c>
      <c r="H130" s="48" t="s">
        <v>59</v>
      </c>
      <c r="I130" s="42" t="s">
        <v>94</v>
      </c>
      <c r="K130" s="42" t="s">
        <v>96</v>
      </c>
    </row>
    <row r="131" spans="1:26" ht="13">
      <c r="A131" s="42" t="s">
        <v>374</v>
      </c>
      <c r="B131" s="42" t="s">
        <v>120</v>
      </c>
      <c r="D131" s="46"/>
      <c r="E131" s="46"/>
      <c r="F131" s="42" t="s">
        <v>92</v>
      </c>
      <c r="G131" s="42" t="s">
        <v>252</v>
      </c>
      <c r="H131" s="42" t="s">
        <v>66</v>
      </c>
      <c r="I131" s="42" t="s">
        <v>375</v>
      </c>
      <c r="J131" s="42" t="s">
        <v>375</v>
      </c>
      <c r="K131" s="42" t="s">
        <v>96</v>
      </c>
    </row>
    <row r="132" spans="1:26" ht="13">
      <c r="A132" s="42" t="s">
        <v>376</v>
      </c>
      <c r="B132" s="42" t="s">
        <v>377</v>
      </c>
      <c r="D132" s="46"/>
      <c r="E132" s="46"/>
      <c r="F132" s="42" t="s">
        <v>92</v>
      </c>
      <c r="G132" s="42" t="s">
        <v>195</v>
      </c>
      <c r="H132" s="42" t="s">
        <v>66</v>
      </c>
      <c r="I132" s="42" t="s">
        <v>378</v>
      </c>
      <c r="J132" s="42" t="s">
        <v>378</v>
      </c>
      <c r="K132" s="42" t="s">
        <v>96</v>
      </c>
    </row>
    <row r="133" spans="1:26" ht="13">
      <c r="A133" s="42" t="s">
        <v>379</v>
      </c>
      <c r="B133" s="42" t="s">
        <v>380</v>
      </c>
      <c r="D133" s="46"/>
      <c r="E133" s="46"/>
      <c r="F133" s="42" t="s">
        <v>92</v>
      </c>
      <c r="G133" s="42" t="s">
        <v>381</v>
      </c>
      <c r="H133" s="42" t="s">
        <v>66</v>
      </c>
      <c r="I133" s="42" t="s">
        <v>378</v>
      </c>
      <c r="J133" s="42" t="s">
        <v>378</v>
      </c>
      <c r="K133" s="42" t="s">
        <v>96</v>
      </c>
    </row>
    <row r="134" spans="1:26" ht="13">
      <c r="A134" s="42" t="s">
        <v>382</v>
      </c>
      <c r="B134" s="42" t="s">
        <v>383</v>
      </c>
      <c r="D134" s="46"/>
      <c r="E134" s="46"/>
      <c r="F134" s="42" t="s">
        <v>92</v>
      </c>
      <c r="G134" s="42" t="s">
        <v>242</v>
      </c>
      <c r="H134" s="42" t="s">
        <v>70</v>
      </c>
      <c r="I134" s="42" t="s">
        <v>375</v>
      </c>
      <c r="J134" s="42" t="s">
        <v>189</v>
      </c>
      <c r="K134" s="42" t="s">
        <v>96</v>
      </c>
    </row>
    <row r="135" spans="1:26" ht="13">
      <c r="A135" s="42" t="s">
        <v>384</v>
      </c>
      <c r="B135" s="42" t="s">
        <v>377</v>
      </c>
      <c r="D135" s="46"/>
      <c r="E135" s="46"/>
      <c r="F135" s="42" t="s">
        <v>92</v>
      </c>
      <c r="G135" s="42" t="s">
        <v>242</v>
      </c>
      <c r="H135" s="42" t="s">
        <v>70</v>
      </c>
      <c r="I135" s="42" t="s">
        <v>375</v>
      </c>
      <c r="J135" s="42" t="s">
        <v>189</v>
      </c>
      <c r="K135" s="42" t="s">
        <v>96</v>
      </c>
    </row>
    <row r="136" spans="1:26" ht="13">
      <c r="A136" s="42" t="s">
        <v>385</v>
      </c>
      <c r="B136" s="42" t="s">
        <v>386</v>
      </c>
      <c r="D136" s="46"/>
      <c r="E136" s="46"/>
      <c r="F136" s="42" t="s">
        <v>92</v>
      </c>
      <c r="G136" s="42" t="s">
        <v>387</v>
      </c>
      <c r="H136" s="42" t="s">
        <v>70</v>
      </c>
      <c r="I136" s="42" t="s">
        <v>375</v>
      </c>
      <c r="J136" s="42" t="s">
        <v>118</v>
      </c>
      <c r="K136" s="42" t="s">
        <v>96</v>
      </c>
    </row>
    <row r="137" spans="1:26" ht="13">
      <c r="A137" s="42" t="s">
        <v>388</v>
      </c>
      <c r="B137" s="42" t="s">
        <v>389</v>
      </c>
      <c r="D137" s="46"/>
      <c r="E137" s="46"/>
      <c r="F137" s="42" t="s">
        <v>92</v>
      </c>
      <c r="G137" s="42" t="s">
        <v>115</v>
      </c>
      <c r="H137" s="42" t="s">
        <v>71</v>
      </c>
      <c r="I137" s="42" t="s">
        <v>375</v>
      </c>
      <c r="K137" s="42" t="s">
        <v>96</v>
      </c>
    </row>
    <row r="138" spans="1:26" ht="13">
      <c r="A138" s="42" t="s">
        <v>390</v>
      </c>
      <c r="B138" s="42" t="s">
        <v>391</v>
      </c>
      <c r="D138" s="46"/>
      <c r="E138" s="46"/>
      <c r="F138" s="42" t="s">
        <v>92</v>
      </c>
      <c r="G138" s="42" t="s">
        <v>99</v>
      </c>
      <c r="H138" s="42" t="s">
        <v>71</v>
      </c>
      <c r="I138" s="42" t="s">
        <v>375</v>
      </c>
      <c r="K138" s="42" t="s">
        <v>96</v>
      </c>
    </row>
    <row r="139" spans="1:26" ht="13">
      <c r="A139" s="42" t="s">
        <v>390</v>
      </c>
      <c r="B139" s="42" t="s">
        <v>391</v>
      </c>
      <c r="D139" s="46"/>
      <c r="E139" s="46"/>
      <c r="F139" s="42" t="s">
        <v>92</v>
      </c>
      <c r="G139" s="42" t="s">
        <v>99</v>
      </c>
      <c r="H139" s="42" t="s">
        <v>392</v>
      </c>
      <c r="I139" s="42" t="s">
        <v>375</v>
      </c>
      <c r="K139" s="42" t="s">
        <v>96</v>
      </c>
    </row>
    <row r="140" spans="1:26" ht="13">
      <c r="A140" s="42" t="s">
        <v>258</v>
      </c>
      <c r="B140" s="42" t="s">
        <v>254</v>
      </c>
      <c r="D140" s="46"/>
      <c r="E140" s="46"/>
      <c r="F140" s="42" t="s">
        <v>92</v>
      </c>
      <c r="H140" s="42" t="s">
        <v>75</v>
      </c>
      <c r="I140" s="42" t="s">
        <v>393</v>
      </c>
      <c r="J140" s="42" t="s">
        <v>153</v>
      </c>
      <c r="K140" s="42" t="s">
        <v>96</v>
      </c>
    </row>
    <row r="141" spans="1:26" ht="13">
      <c r="A141" s="42" t="s">
        <v>394</v>
      </c>
      <c r="B141" s="42" t="s">
        <v>395</v>
      </c>
      <c r="D141" s="46"/>
      <c r="E141" s="46"/>
      <c r="F141" s="42" t="s">
        <v>92</v>
      </c>
      <c r="H141" s="42" t="s">
        <v>75</v>
      </c>
      <c r="I141" s="42" t="s">
        <v>393</v>
      </c>
      <c r="J141" s="42" t="s">
        <v>149</v>
      </c>
      <c r="K141" s="42" t="s">
        <v>96</v>
      </c>
    </row>
    <row r="142" spans="1:26" ht="13">
      <c r="A142" s="42" t="s">
        <v>379</v>
      </c>
      <c r="B142" s="42" t="s">
        <v>380</v>
      </c>
      <c r="D142" s="46"/>
      <c r="E142" s="46"/>
      <c r="F142" s="42" t="s">
        <v>92</v>
      </c>
      <c r="H142" s="42" t="s">
        <v>75</v>
      </c>
      <c r="I142" s="42" t="s">
        <v>393</v>
      </c>
      <c r="J142" s="42" t="s">
        <v>396</v>
      </c>
      <c r="K142" s="42" t="s">
        <v>96</v>
      </c>
    </row>
    <row r="143" spans="1:26" ht="13">
      <c r="A143" s="42" t="s">
        <v>397</v>
      </c>
      <c r="B143" s="42" t="s">
        <v>398</v>
      </c>
      <c r="D143" s="46"/>
      <c r="E143" s="46"/>
      <c r="F143" s="42" t="s">
        <v>92</v>
      </c>
      <c r="H143" s="42" t="s">
        <v>75</v>
      </c>
      <c r="I143" s="42" t="s">
        <v>393</v>
      </c>
      <c r="J143" s="42" t="s">
        <v>399</v>
      </c>
      <c r="K143" s="42" t="s">
        <v>96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3">
      <c r="A144" s="42" t="s">
        <v>400</v>
      </c>
      <c r="B144" s="42" t="s">
        <v>401</v>
      </c>
      <c r="D144" s="46"/>
      <c r="E144" s="46"/>
      <c r="F144" s="42" t="s">
        <v>92</v>
      </c>
      <c r="G144" s="42" t="s">
        <v>195</v>
      </c>
      <c r="H144" s="42" t="s">
        <v>75</v>
      </c>
      <c r="I144" s="42" t="s">
        <v>393</v>
      </c>
      <c r="J144" s="42" t="s">
        <v>402</v>
      </c>
      <c r="K144" s="42" t="s">
        <v>96</v>
      </c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3">
      <c r="A145" s="42" t="s">
        <v>390</v>
      </c>
      <c r="B145" s="42" t="s">
        <v>391</v>
      </c>
      <c r="D145" s="46"/>
      <c r="E145" s="46"/>
      <c r="F145" s="42" t="s">
        <v>92</v>
      </c>
      <c r="G145" s="42" t="s">
        <v>169</v>
      </c>
      <c r="H145" s="42" t="s">
        <v>72</v>
      </c>
      <c r="I145" s="42" t="s">
        <v>375</v>
      </c>
      <c r="K145" s="42" t="s">
        <v>96</v>
      </c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3">
      <c r="A146" s="42" t="s">
        <v>403</v>
      </c>
      <c r="B146" s="42" t="s">
        <v>404</v>
      </c>
      <c r="D146" s="46"/>
      <c r="E146" s="46"/>
      <c r="F146" s="42" t="s">
        <v>92</v>
      </c>
      <c r="G146" s="42" t="s">
        <v>381</v>
      </c>
      <c r="H146" s="42" t="s">
        <v>63</v>
      </c>
      <c r="I146" s="42" t="s">
        <v>94</v>
      </c>
      <c r="K146" s="42" t="s">
        <v>96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3">
      <c r="A147" s="42" t="s">
        <v>405</v>
      </c>
      <c r="B147" s="42" t="s">
        <v>406</v>
      </c>
      <c r="D147" s="46"/>
      <c r="E147" s="46"/>
      <c r="F147" s="42" t="s">
        <v>92</v>
      </c>
      <c r="G147" s="42" t="s">
        <v>407</v>
      </c>
      <c r="H147" s="42" t="s">
        <v>73</v>
      </c>
      <c r="I147" s="42" t="s">
        <v>375</v>
      </c>
      <c r="K147" s="42" t="s">
        <v>96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3">
      <c r="A148" s="42" t="s">
        <v>408</v>
      </c>
      <c r="B148" s="42" t="s">
        <v>409</v>
      </c>
      <c r="D148" s="46"/>
      <c r="E148" s="46"/>
      <c r="F148" s="42" t="s">
        <v>92</v>
      </c>
      <c r="G148" s="42" t="s">
        <v>169</v>
      </c>
      <c r="H148" s="42" t="s">
        <v>74</v>
      </c>
      <c r="I148" s="42" t="s">
        <v>375</v>
      </c>
      <c r="K148" s="42" t="s">
        <v>96</v>
      </c>
    </row>
    <row r="149" spans="1:26" ht="13">
      <c r="A149" s="34" t="s">
        <v>200</v>
      </c>
      <c r="B149" s="34" t="s">
        <v>201</v>
      </c>
      <c r="C149" s="34"/>
      <c r="D149" s="39"/>
      <c r="E149" s="40">
        <v>2018</v>
      </c>
      <c r="F149" s="34" t="s">
        <v>410</v>
      </c>
      <c r="G149" s="34" t="s">
        <v>411</v>
      </c>
      <c r="H149" s="42" t="s">
        <v>5</v>
      </c>
      <c r="I149" s="42" t="s">
        <v>100</v>
      </c>
      <c r="K149" s="42" t="s">
        <v>96</v>
      </c>
    </row>
    <row r="150" spans="1:26" ht="13">
      <c r="A150" s="34" t="s">
        <v>412</v>
      </c>
      <c r="B150" s="34" t="s">
        <v>177</v>
      </c>
      <c r="C150" s="34"/>
      <c r="D150" s="39"/>
      <c r="E150" s="40">
        <v>2018</v>
      </c>
      <c r="F150" s="34" t="s">
        <v>410</v>
      </c>
      <c r="G150" s="34" t="s">
        <v>115</v>
      </c>
      <c r="H150" s="42" t="s">
        <v>5</v>
      </c>
      <c r="I150" s="42" t="s">
        <v>100</v>
      </c>
      <c r="K150" s="42" t="s">
        <v>96</v>
      </c>
    </row>
    <row r="151" spans="1:26" ht="13">
      <c r="A151" s="34" t="s">
        <v>413</v>
      </c>
      <c r="B151" s="34" t="s">
        <v>414</v>
      </c>
      <c r="C151" s="34"/>
      <c r="D151" s="39"/>
      <c r="E151" s="40">
        <v>2018</v>
      </c>
      <c r="F151" s="34" t="s">
        <v>410</v>
      </c>
      <c r="G151" s="34" t="s">
        <v>99</v>
      </c>
      <c r="H151" s="42" t="s">
        <v>5</v>
      </c>
      <c r="I151" s="42" t="s">
        <v>100</v>
      </c>
      <c r="K151" s="42" t="s">
        <v>96</v>
      </c>
    </row>
    <row r="152" spans="1:26" ht="13">
      <c r="A152" s="34" t="s">
        <v>90</v>
      </c>
      <c r="B152" s="34" t="s">
        <v>91</v>
      </c>
      <c r="C152" s="34"/>
      <c r="D152" s="39"/>
      <c r="E152" s="40">
        <v>2018</v>
      </c>
      <c r="F152" s="34" t="s">
        <v>410</v>
      </c>
      <c r="G152" s="34" t="s">
        <v>93</v>
      </c>
      <c r="H152" s="42" t="s">
        <v>5</v>
      </c>
      <c r="I152" s="42" t="s">
        <v>100</v>
      </c>
      <c r="K152" s="42" t="s">
        <v>96</v>
      </c>
    </row>
    <row r="153" spans="1:26" ht="13">
      <c r="A153" s="34" t="s">
        <v>245</v>
      </c>
      <c r="B153" s="34" t="s">
        <v>246</v>
      </c>
      <c r="C153" s="34"/>
      <c r="D153" s="39"/>
      <c r="E153" s="40">
        <v>2018</v>
      </c>
      <c r="F153" s="34" t="s">
        <v>410</v>
      </c>
      <c r="G153" s="34" t="s">
        <v>247</v>
      </c>
      <c r="H153" s="42" t="s">
        <v>5</v>
      </c>
      <c r="I153" s="42" t="s">
        <v>100</v>
      </c>
      <c r="K153" s="42" t="s">
        <v>96</v>
      </c>
    </row>
    <row r="154" spans="1:26" ht="13">
      <c r="A154" s="34" t="s">
        <v>415</v>
      </c>
      <c r="B154" s="34" t="s">
        <v>416</v>
      </c>
      <c r="C154" s="34"/>
      <c r="D154" s="39"/>
      <c r="E154" s="40">
        <v>2019</v>
      </c>
      <c r="F154" s="34" t="s">
        <v>410</v>
      </c>
      <c r="G154" s="34" t="s">
        <v>115</v>
      </c>
      <c r="H154" s="42" t="s">
        <v>5</v>
      </c>
      <c r="I154" s="42" t="s">
        <v>100</v>
      </c>
      <c r="K154" s="42" t="s">
        <v>96</v>
      </c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3">
      <c r="A155" s="34" t="s">
        <v>167</v>
      </c>
      <c r="B155" s="34" t="s">
        <v>168</v>
      </c>
      <c r="C155" s="34"/>
      <c r="D155" s="39"/>
      <c r="E155" s="40">
        <v>2019</v>
      </c>
      <c r="F155" s="34" t="s">
        <v>410</v>
      </c>
      <c r="G155" s="34" t="s">
        <v>133</v>
      </c>
      <c r="H155" s="42" t="s">
        <v>5</v>
      </c>
      <c r="I155" s="42" t="s">
        <v>100</v>
      </c>
      <c r="K155" s="42" t="s">
        <v>96</v>
      </c>
    </row>
    <row r="156" spans="1:26" ht="18">
      <c r="A156" s="34" t="s">
        <v>284</v>
      </c>
      <c r="B156" s="34" t="s">
        <v>285</v>
      </c>
      <c r="C156" s="34"/>
      <c r="D156" s="39"/>
      <c r="E156" s="40">
        <v>2019</v>
      </c>
      <c r="F156" s="34" t="s">
        <v>410</v>
      </c>
      <c r="G156" s="34" t="s">
        <v>286</v>
      </c>
      <c r="H156" s="42" t="s">
        <v>5</v>
      </c>
      <c r="I156" s="42" t="s">
        <v>100</v>
      </c>
      <c r="K156" s="42" t="s">
        <v>96</v>
      </c>
      <c r="L156" s="50"/>
    </row>
    <row r="157" spans="1:26" ht="13">
      <c r="A157" s="34" t="s">
        <v>173</v>
      </c>
      <c r="B157" s="34" t="s">
        <v>130</v>
      </c>
      <c r="C157" s="34"/>
      <c r="D157" s="51">
        <v>2018</v>
      </c>
      <c r="E157" s="40">
        <v>2019</v>
      </c>
      <c r="F157" s="34" t="s">
        <v>410</v>
      </c>
      <c r="G157" s="34" t="s">
        <v>417</v>
      </c>
      <c r="H157" s="42" t="s">
        <v>5</v>
      </c>
      <c r="I157" s="42" t="s">
        <v>100</v>
      </c>
      <c r="K157" s="42" t="s">
        <v>96</v>
      </c>
    </row>
    <row r="158" spans="1:26" ht="13">
      <c r="A158" s="34" t="s">
        <v>418</v>
      </c>
      <c r="B158" s="34" t="s">
        <v>108</v>
      </c>
      <c r="C158" s="34"/>
      <c r="D158" s="39"/>
      <c r="E158" s="40">
        <v>2019</v>
      </c>
      <c r="F158" s="34" t="s">
        <v>410</v>
      </c>
      <c r="G158" s="34" t="s">
        <v>109</v>
      </c>
      <c r="H158" s="42" t="s">
        <v>5</v>
      </c>
      <c r="I158" s="42" t="s">
        <v>100</v>
      </c>
      <c r="K158" s="42" t="s">
        <v>96</v>
      </c>
    </row>
    <row r="159" spans="1:26" ht="13">
      <c r="A159" s="34" t="s">
        <v>321</v>
      </c>
      <c r="B159" s="34" t="s">
        <v>419</v>
      </c>
      <c r="C159" s="34"/>
      <c r="D159" s="39"/>
      <c r="E159" s="40">
        <v>2019</v>
      </c>
      <c r="F159" s="34" t="s">
        <v>410</v>
      </c>
      <c r="G159" s="34" t="s">
        <v>121</v>
      </c>
      <c r="H159" s="42" t="s">
        <v>5</v>
      </c>
      <c r="I159" s="42" t="s">
        <v>100</v>
      </c>
      <c r="K159" s="42" t="s">
        <v>96</v>
      </c>
    </row>
    <row r="160" spans="1:26" ht="13">
      <c r="A160" s="34" t="s">
        <v>420</v>
      </c>
      <c r="B160" s="34" t="s">
        <v>421</v>
      </c>
      <c r="C160" s="34"/>
      <c r="D160" s="39"/>
      <c r="E160" s="40">
        <v>2020</v>
      </c>
      <c r="F160" s="34" t="s">
        <v>410</v>
      </c>
      <c r="G160" s="34" t="s">
        <v>128</v>
      </c>
      <c r="H160" s="42" t="s">
        <v>5</v>
      </c>
      <c r="I160" s="42" t="s">
        <v>100</v>
      </c>
      <c r="K160" s="42" t="s">
        <v>96</v>
      </c>
    </row>
    <row r="161" spans="1:11" ht="13">
      <c r="A161" s="34" t="s">
        <v>422</v>
      </c>
      <c r="B161" s="34" t="s">
        <v>423</v>
      </c>
      <c r="C161" s="34"/>
      <c r="D161" s="39"/>
      <c r="E161" s="40">
        <v>2020</v>
      </c>
      <c r="F161" s="34" t="s">
        <v>410</v>
      </c>
      <c r="G161" s="34" t="s">
        <v>115</v>
      </c>
      <c r="H161" s="42" t="s">
        <v>5</v>
      </c>
      <c r="I161" s="42" t="s">
        <v>100</v>
      </c>
      <c r="K161" s="42" t="s">
        <v>96</v>
      </c>
    </row>
    <row r="162" spans="1:11" ht="13">
      <c r="A162" s="34" t="s">
        <v>424</v>
      </c>
      <c r="B162" s="34" t="s">
        <v>425</v>
      </c>
      <c r="C162" s="34"/>
      <c r="D162" s="39"/>
      <c r="E162" s="40">
        <v>2020</v>
      </c>
      <c r="F162" s="34" t="s">
        <v>410</v>
      </c>
      <c r="G162" s="34" t="s">
        <v>426</v>
      </c>
      <c r="H162" s="42" t="s">
        <v>5</v>
      </c>
      <c r="I162" s="42" t="s">
        <v>100</v>
      </c>
      <c r="K162" s="42" t="s">
        <v>96</v>
      </c>
    </row>
    <row r="163" spans="1:11" ht="13">
      <c r="A163" s="34" t="s">
        <v>427</v>
      </c>
      <c r="B163" s="34" t="s">
        <v>428</v>
      </c>
      <c r="C163" s="34"/>
      <c r="D163" s="39"/>
      <c r="E163" s="40">
        <v>2020</v>
      </c>
      <c r="F163" s="34" t="s">
        <v>410</v>
      </c>
      <c r="G163" s="34" t="s">
        <v>429</v>
      </c>
      <c r="H163" s="42" t="s">
        <v>5</v>
      </c>
      <c r="I163" s="42" t="s">
        <v>100</v>
      </c>
      <c r="K163" s="42" t="s">
        <v>96</v>
      </c>
    </row>
    <row r="164" spans="1:11" ht="13">
      <c r="A164" s="34" t="s">
        <v>430</v>
      </c>
      <c r="B164" s="34" t="s">
        <v>419</v>
      </c>
      <c r="C164" s="34"/>
      <c r="D164" s="39"/>
      <c r="E164" s="40">
        <v>2021</v>
      </c>
      <c r="F164" s="34" t="s">
        <v>410</v>
      </c>
      <c r="G164" s="34" t="s">
        <v>182</v>
      </c>
      <c r="H164" s="41" t="s">
        <v>5</v>
      </c>
      <c r="I164" s="41" t="s">
        <v>100</v>
      </c>
      <c r="J164" s="41"/>
      <c r="K164" s="42" t="s">
        <v>96</v>
      </c>
    </row>
    <row r="165" spans="1:11" ht="13">
      <c r="A165" s="34" t="s">
        <v>415</v>
      </c>
      <c r="B165" s="34" t="s">
        <v>416</v>
      </c>
      <c r="C165" s="34"/>
      <c r="D165" s="39"/>
      <c r="E165" s="40">
        <v>2021</v>
      </c>
      <c r="F165" s="34" t="s">
        <v>410</v>
      </c>
      <c r="G165" s="34" t="s">
        <v>115</v>
      </c>
      <c r="H165" s="41" t="s">
        <v>5</v>
      </c>
      <c r="I165" s="41" t="s">
        <v>100</v>
      </c>
      <c r="J165" s="41"/>
      <c r="K165" s="42" t="s">
        <v>96</v>
      </c>
    </row>
    <row r="166" spans="1:11" ht="13">
      <c r="A166" s="34" t="s">
        <v>431</v>
      </c>
      <c r="B166" s="34" t="s">
        <v>140</v>
      </c>
      <c r="C166" s="34"/>
      <c r="D166" s="39"/>
      <c r="E166" s="40">
        <v>2021</v>
      </c>
      <c r="F166" s="34" t="s">
        <v>410</v>
      </c>
      <c r="G166" s="34" t="s">
        <v>407</v>
      </c>
      <c r="H166" s="42" t="s">
        <v>5</v>
      </c>
      <c r="I166" s="42" t="s">
        <v>100</v>
      </c>
      <c r="K166" s="42" t="s">
        <v>96</v>
      </c>
    </row>
    <row r="167" spans="1:11" ht="13">
      <c r="A167" s="34" t="s">
        <v>90</v>
      </c>
      <c r="B167" s="34" t="s">
        <v>91</v>
      </c>
      <c r="C167" s="34"/>
      <c r="D167" s="39">
        <v>43800</v>
      </c>
      <c r="E167" s="40">
        <v>2021</v>
      </c>
      <c r="F167" s="34" t="s">
        <v>410</v>
      </c>
      <c r="G167" s="34" t="s">
        <v>93</v>
      </c>
      <c r="H167" s="42" t="s">
        <v>5</v>
      </c>
      <c r="I167" s="42" t="s">
        <v>100</v>
      </c>
      <c r="K167" s="42" t="s">
        <v>96</v>
      </c>
    </row>
    <row r="168" spans="1:11" ht="13">
      <c r="A168" s="34" t="s">
        <v>432</v>
      </c>
      <c r="B168" s="34" t="s">
        <v>433</v>
      </c>
      <c r="C168" s="34"/>
      <c r="D168" s="39"/>
      <c r="E168" s="40">
        <v>2021</v>
      </c>
      <c r="F168" s="34" t="s">
        <v>410</v>
      </c>
      <c r="G168" s="34" t="s">
        <v>135</v>
      </c>
      <c r="H168" s="42" t="s">
        <v>5</v>
      </c>
      <c r="I168" s="42" t="s">
        <v>100</v>
      </c>
      <c r="K168" s="42" t="s">
        <v>96</v>
      </c>
    </row>
    <row r="169" spans="1:11" ht="13">
      <c r="A169" s="34" t="s">
        <v>335</v>
      </c>
      <c r="B169" s="34" t="s">
        <v>434</v>
      </c>
      <c r="C169" s="34"/>
      <c r="D169" s="39"/>
      <c r="E169" s="40">
        <v>2021</v>
      </c>
      <c r="F169" s="34" t="s">
        <v>410</v>
      </c>
      <c r="G169" s="34" t="s">
        <v>143</v>
      </c>
      <c r="H169" s="41" t="s">
        <v>5</v>
      </c>
      <c r="I169" s="41" t="s">
        <v>100</v>
      </c>
      <c r="J169" s="41"/>
      <c r="K169" s="42" t="s">
        <v>96</v>
      </c>
    </row>
    <row r="170" spans="1:11" ht="13">
      <c r="A170" s="42" t="s">
        <v>190</v>
      </c>
      <c r="B170" s="42" t="s">
        <v>108</v>
      </c>
      <c r="D170" s="45">
        <v>42826</v>
      </c>
      <c r="E170" s="45">
        <v>43555</v>
      </c>
      <c r="F170" s="42" t="s">
        <v>410</v>
      </c>
      <c r="G170" s="42" t="s">
        <v>169</v>
      </c>
      <c r="H170" s="42" t="s">
        <v>2</v>
      </c>
      <c r="I170" s="42" t="s">
        <v>2</v>
      </c>
      <c r="J170" s="41" t="s">
        <v>95</v>
      </c>
      <c r="K170" s="41" t="s">
        <v>144</v>
      </c>
    </row>
    <row r="171" spans="1:11" ht="13">
      <c r="A171" s="42" t="s">
        <v>183</v>
      </c>
      <c r="B171" s="42" t="s">
        <v>184</v>
      </c>
      <c r="D171" s="46"/>
      <c r="E171" s="45">
        <v>44469</v>
      </c>
      <c r="F171" s="42" t="s">
        <v>410</v>
      </c>
      <c r="G171" s="42" t="s">
        <v>115</v>
      </c>
      <c r="H171" s="42" t="s">
        <v>30</v>
      </c>
      <c r="I171" s="42" t="s">
        <v>94</v>
      </c>
      <c r="K171" s="41" t="s">
        <v>144</v>
      </c>
    </row>
    <row r="172" spans="1:11" ht="13">
      <c r="A172" s="42" t="s">
        <v>435</v>
      </c>
      <c r="B172" s="42" t="s">
        <v>436</v>
      </c>
      <c r="D172" s="46"/>
      <c r="E172" s="45">
        <v>45016</v>
      </c>
      <c r="F172" s="42" t="s">
        <v>410</v>
      </c>
      <c r="G172" s="42" t="s">
        <v>109</v>
      </c>
      <c r="H172" s="42" t="s">
        <v>21</v>
      </c>
      <c r="I172" s="42" t="s">
        <v>94</v>
      </c>
      <c r="J172" s="42" t="s">
        <v>95</v>
      </c>
      <c r="K172" s="41" t="s">
        <v>144</v>
      </c>
    </row>
    <row r="173" spans="1:11" ht="13">
      <c r="A173" s="42" t="s">
        <v>240</v>
      </c>
      <c r="B173" s="42" t="s">
        <v>241</v>
      </c>
      <c r="D173" s="46"/>
      <c r="E173" s="46"/>
      <c r="F173" s="42" t="s">
        <v>410</v>
      </c>
      <c r="G173" s="42" t="s">
        <v>242</v>
      </c>
      <c r="H173" s="42" t="s">
        <v>11</v>
      </c>
      <c r="I173" s="42" t="s">
        <v>94</v>
      </c>
      <c r="K173" s="41" t="s">
        <v>144</v>
      </c>
    </row>
    <row r="174" spans="1:11" ht="13">
      <c r="A174" s="42" t="s">
        <v>437</v>
      </c>
      <c r="B174" s="42" t="s">
        <v>438</v>
      </c>
      <c r="D174" s="46"/>
      <c r="E174" s="46"/>
      <c r="F174" s="42" t="s">
        <v>410</v>
      </c>
      <c r="G174" s="42" t="s">
        <v>169</v>
      </c>
      <c r="H174" s="42" t="s">
        <v>23</v>
      </c>
      <c r="I174" s="42" t="s">
        <v>94</v>
      </c>
      <c r="K174" s="42" t="s">
        <v>96</v>
      </c>
    </row>
    <row r="175" spans="1:11" ht="13">
      <c r="A175" s="42" t="s">
        <v>439</v>
      </c>
      <c r="B175" s="42" t="s">
        <v>168</v>
      </c>
      <c r="D175" s="46"/>
      <c r="E175" s="46"/>
      <c r="F175" s="42" t="s">
        <v>410</v>
      </c>
      <c r="G175" s="42" t="s">
        <v>440</v>
      </c>
      <c r="H175" s="42" t="s">
        <v>6</v>
      </c>
      <c r="I175" s="42" t="s">
        <v>94</v>
      </c>
      <c r="J175" s="41" t="s">
        <v>95</v>
      </c>
      <c r="K175" s="42" t="s">
        <v>96</v>
      </c>
    </row>
    <row r="176" spans="1:11" ht="13">
      <c r="A176" s="42" t="s">
        <v>441</v>
      </c>
      <c r="B176" s="42" t="s">
        <v>442</v>
      </c>
      <c r="D176" s="45">
        <v>36526</v>
      </c>
      <c r="E176" s="45">
        <v>37500</v>
      </c>
      <c r="F176" s="42" t="s">
        <v>443</v>
      </c>
      <c r="G176" s="42" t="s">
        <v>169</v>
      </c>
      <c r="H176" s="42" t="s">
        <v>21</v>
      </c>
      <c r="I176" s="42" t="s">
        <v>94</v>
      </c>
      <c r="K176" s="42" t="s">
        <v>96</v>
      </c>
    </row>
    <row r="177" spans="1:11" ht="13">
      <c r="A177" s="42" t="s">
        <v>444</v>
      </c>
      <c r="B177" s="42" t="s">
        <v>114</v>
      </c>
      <c r="D177" s="45">
        <v>36526</v>
      </c>
      <c r="E177" s="45">
        <v>37500</v>
      </c>
      <c r="F177" s="42" t="s">
        <v>443</v>
      </c>
      <c r="G177" s="42" t="s">
        <v>445</v>
      </c>
      <c r="H177" s="42" t="s">
        <v>21</v>
      </c>
      <c r="I177" s="42" t="s">
        <v>94</v>
      </c>
      <c r="K177" s="42" t="s">
        <v>96</v>
      </c>
    </row>
    <row r="178" spans="1:11" ht="13">
      <c r="A178" s="42" t="s">
        <v>446</v>
      </c>
      <c r="B178" s="42" t="s">
        <v>447</v>
      </c>
      <c r="D178" s="45">
        <v>36526</v>
      </c>
      <c r="E178" s="45">
        <v>37742</v>
      </c>
      <c r="F178" s="42" t="s">
        <v>443</v>
      </c>
      <c r="H178" s="42" t="s">
        <v>11</v>
      </c>
      <c r="I178" s="42" t="s">
        <v>94</v>
      </c>
      <c r="K178" s="42" t="s">
        <v>96</v>
      </c>
    </row>
    <row r="179" spans="1:11" ht="13">
      <c r="A179" s="42" t="s">
        <v>448</v>
      </c>
      <c r="B179" s="42" t="s">
        <v>168</v>
      </c>
      <c r="D179" s="45">
        <v>36526</v>
      </c>
      <c r="E179" s="45">
        <v>37742</v>
      </c>
      <c r="F179" s="42" t="s">
        <v>443</v>
      </c>
      <c r="G179" s="42" t="s">
        <v>93</v>
      </c>
      <c r="H179" s="42" t="s">
        <v>11</v>
      </c>
      <c r="I179" s="42" t="s">
        <v>94</v>
      </c>
      <c r="K179" s="42" t="s">
        <v>96</v>
      </c>
    </row>
    <row r="180" spans="1:11" ht="13">
      <c r="A180" s="42" t="s">
        <v>449</v>
      </c>
      <c r="B180" s="42" t="s">
        <v>450</v>
      </c>
      <c r="D180" s="45">
        <v>37712</v>
      </c>
      <c r="E180" s="45">
        <v>38139</v>
      </c>
      <c r="F180" s="42" t="s">
        <v>443</v>
      </c>
      <c r="G180" s="42" t="s">
        <v>445</v>
      </c>
      <c r="H180" s="42" t="s">
        <v>11</v>
      </c>
      <c r="I180" s="42" t="s">
        <v>94</v>
      </c>
      <c r="K180" s="42" t="s">
        <v>96</v>
      </c>
    </row>
    <row r="181" spans="1:11" ht="13">
      <c r="A181" s="42" t="s">
        <v>119</v>
      </c>
      <c r="B181" s="42" t="s">
        <v>120</v>
      </c>
      <c r="D181" s="45">
        <v>36526</v>
      </c>
      <c r="E181" s="45">
        <v>38899</v>
      </c>
      <c r="F181" s="42" t="s">
        <v>443</v>
      </c>
      <c r="G181" s="42" t="s">
        <v>121</v>
      </c>
      <c r="H181" s="42" t="s">
        <v>451</v>
      </c>
      <c r="I181" s="42" t="s">
        <v>94</v>
      </c>
      <c r="K181" s="42" t="s">
        <v>96</v>
      </c>
    </row>
    <row r="182" spans="1:11" ht="13">
      <c r="A182" s="42" t="s">
        <v>452</v>
      </c>
      <c r="B182" s="42" t="s">
        <v>453</v>
      </c>
      <c r="C182" s="42" t="s">
        <v>454</v>
      </c>
      <c r="D182" s="45">
        <v>36892</v>
      </c>
      <c r="E182" s="45">
        <v>39083</v>
      </c>
      <c r="F182" s="42" t="s">
        <v>443</v>
      </c>
      <c r="G182" s="42" t="s">
        <v>445</v>
      </c>
      <c r="H182" s="42" t="s">
        <v>22</v>
      </c>
      <c r="I182" s="42" t="s">
        <v>94</v>
      </c>
      <c r="K182" s="42" t="s">
        <v>96</v>
      </c>
    </row>
    <row r="183" spans="1:11" ht="13">
      <c r="A183" s="42" t="s">
        <v>455</v>
      </c>
      <c r="B183" s="42" t="s">
        <v>120</v>
      </c>
      <c r="C183" s="42" t="s">
        <v>456</v>
      </c>
      <c r="D183" s="45"/>
      <c r="E183" s="45">
        <v>39173</v>
      </c>
      <c r="F183" s="42" t="s">
        <v>443</v>
      </c>
      <c r="G183" s="42" t="s">
        <v>133</v>
      </c>
      <c r="H183" s="42" t="s">
        <v>457</v>
      </c>
      <c r="I183" s="42" t="s">
        <v>94</v>
      </c>
    </row>
    <row r="184" spans="1:11" ht="13">
      <c r="A184" s="42" t="s">
        <v>167</v>
      </c>
      <c r="B184" s="42" t="s">
        <v>168</v>
      </c>
      <c r="D184" s="45">
        <v>36526</v>
      </c>
      <c r="E184" s="45">
        <v>39326</v>
      </c>
      <c r="F184" s="42" t="s">
        <v>443</v>
      </c>
      <c r="G184" s="42" t="s">
        <v>169</v>
      </c>
      <c r="H184" s="42" t="s">
        <v>451</v>
      </c>
      <c r="I184" s="42" t="s">
        <v>94</v>
      </c>
      <c r="K184" s="42" t="s">
        <v>96</v>
      </c>
    </row>
    <row r="185" spans="1:11" ht="13">
      <c r="A185" s="42" t="s">
        <v>284</v>
      </c>
      <c r="B185" s="42" t="s">
        <v>285</v>
      </c>
      <c r="D185" s="45">
        <v>36526</v>
      </c>
      <c r="E185" s="45">
        <v>39417</v>
      </c>
      <c r="F185" s="42" t="s">
        <v>443</v>
      </c>
      <c r="G185" s="42" t="s">
        <v>286</v>
      </c>
      <c r="H185" s="42" t="s">
        <v>458</v>
      </c>
      <c r="I185" s="42" t="s">
        <v>94</v>
      </c>
      <c r="K185" s="42" t="s">
        <v>96</v>
      </c>
    </row>
    <row r="186" spans="1:11" ht="13">
      <c r="A186" s="42" t="s">
        <v>459</v>
      </c>
      <c r="B186" s="42" t="s">
        <v>460</v>
      </c>
      <c r="D186" s="45">
        <v>37500</v>
      </c>
      <c r="E186" s="45">
        <v>39448</v>
      </c>
      <c r="F186" s="42" t="s">
        <v>443</v>
      </c>
      <c r="H186" s="42" t="s">
        <v>21</v>
      </c>
      <c r="I186" s="42" t="s">
        <v>94</v>
      </c>
      <c r="K186" s="42" t="s">
        <v>96</v>
      </c>
    </row>
    <row r="187" spans="1:11" ht="13">
      <c r="A187" s="42" t="s">
        <v>173</v>
      </c>
      <c r="B187" s="42" t="s">
        <v>130</v>
      </c>
      <c r="D187" s="45">
        <v>36526</v>
      </c>
      <c r="E187" s="45">
        <v>39568</v>
      </c>
      <c r="F187" s="42" t="s">
        <v>443</v>
      </c>
      <c r="G187" s="42" t="s">
        <v>175</v>
      </c>
      <c r="H187" s="42" t="s">
        <v>458</v>
      </c>
      <c r="I187" s="42" t="s">
        <v>94</v>
      </c>
      <c r="K187" s="42" t="s">
        <v>96</v>
      </c>
    </row>
    <row r="188" spans="1:11" ht="13">
      <c r="A188" s="42" t="s">
        <v>461</v>
      </c>
      <c r="B188" s="42" t="s">
        <v>442</v>
      </c>
      <c r="D188" s="45">
        <v>37500</v>
      </c>
      <c r="E188" s="45">
        <v>39600</v>
      </c>
      <c r="F188" s="42" t="s">
        <v>443</v>
      </c>
      <c r="G188" s="42" t="s">
        <v>462</v>
      </c>
      <c r="H188" s="42" t="s">
        <v>21</v>
      </c>
      <c r="I188" s="42" t="s">
        <v>94</v>
      </c>
      <c r="K188" s="42" t="s">
        <v>96</v>
      </c>
    </row>
    <row r="189" spans="1:11" ht="13">
      <c r="A189" s="42" t="s">
        <v>463</v>
      </c>
      <c r="B189" s="42" t="s">
        <v>464</v>
      </c>
      <c r="D189" s="45">
        <v>39448</v>
      </c>
      <c r="E189" s="45">
        <v>40148</v>
      </c>
      <c r="F189" s="42" t="s">
        <v>443</v>
      </c>
      <c r="G189" s="42" t="s">
        <v>115</v>
      </c>
      <c r="H189" s="42" t="s">
        <v>21</v>
      </c>
      <c r="I189" s="42" t="s">
        <v>94</v>
      </c>
      <c r="K189" s="42" t="s">
        <v>144</v>
      </c>
    </row>
    <row r="190" spans="1:11" ht="13">
      <c r="A190" s="42" t="s">
        <v>465</v>
      </c>
      <c r="B190" s="42" t="s">
        <v>466</v>
      </c>
      <c r="C190" s="42" t="s">
        <v>467</v>
      </c>
      <c r="D190" s="52">
        <v>2005</v>
      </c>
      <c r="E190" s="45">
        <v>40179</v>
      </c>
      <c r="F190" s="42" t="s">
        <v>443</v>
      </c>
      <c r="G190" s="42" t="s">
        <v>115</v>
      </c>
      <c r="H190" s="42" t="s">
        <v>468</v>
      </c>
      <c r="I190" s="42" t="s">
        <v>94</v>
      </c>
      <c r="K190" s="42" t="s">
        <v>96</v>
      </c>
    </row>
    <row r="191" spans="1:11" ht="13">
      <c r="A191" s="53" t="s">
        <v>437</v>
      </c>
      <c r="B191" s="42" t="s">
        <v>438</v>
      </c>
      <c r="D191" s="45">
        <v>37742</v>
      </c>
      <c r="E191" s="45">
        <v>40210</v>
      </c>
      <c r="F191" s="42" t="s">
        <v>443</v>
      </c>
      <c r="G191" s="42" t="s">
        <v>169</v>
      </c>
      <c r="H191" s="42" t="s">
        <v>11</v>
      </c>
      <c r="I191" s="42" t="s">
        <v>94</v>
      </c>
      <c r="K191" s="42" t="s">
        <v>96</v>
      </c>
    </row>
    <row r="192" spans="1:11" ht="13">
      <c r="A192" s="42" t="s">
        <v>418</v>
      </c>
      <c r="B192" s="42" t="s">
        <v>108</v>
      </c>
      <c r="D192" s="45">
        <v>39904</v>
      </c>
      <c r="E192" s="45">
        <v>40633</v>
      </c>
      <c r="F192" s="42" t="s">
        <v>443</v>
      </c>
      <c r="G192" s="42" t="s">
        <v>109</v>
      </c>
      <c r="H192" s="42" t="s">
        <v>469</v>
      </c>
      <c r="I192" s="42" t="s">
        <v>94</v>
      </c>
      <c r="K192" s="42" t="s">
        <v>470</v>
      </c>
    </row>
    <row r="193" spans="1:11" ht="13">
      <c r="A193" s="42" t="s">
        <v>471</v>
      </c>
      <c r="B193" s="42" t="s">
        <v>472</v>
      </c>
      <c r="C193" s="42" t="s">
        <v>473</v>
      </c>
      <c r="D193" s="45">
        <v>40179</v>
      </c>
      <c r="E193" s="45">
        <v>40695</v>
      </c>
      <c r="F193" s="42" t="s">
        <v>443</v>
      </c>
      <c r="G193" s="42" t="s">
        <v>445</v>
      </c>
      <c r="H193" s="42" t="s">
        <v>474</v>
      </c>
      <c r="I193" s="42" t="s">
        <v>94</v>
      </c>
    </row>
    <row r="194" spans="1:11" ht="13">
      <c r="A194" s="42" t="s">
        <v>122</v>
      </c>
      <c r="B194" s="42" t="s">
        <v>123</v>
      </c>
      <c r="D194" s="45">
        <v>38899</v>
      </c>
      <c r="E194" s="45">
        <v>40695</v>
      </c>
      <c r="F194" s="42" t="s">
        <v>443</v>
      </c>
      <c r="G194" s="42" t="s">
        <v>475</v>
      </c>
      <c r="H194" s="42" t="s">
        <v>451</v>
      </c>
      <c r="I194" s="42" t="s">
        <v>94</v>
      </c>
      <c r="K194" s="42" t="s">
        <v>144</v>
      </c>
    </row>
    <row r="195" spans="1:11" ht="13">
      <c r="A195" s="42" t="s">
        <v>439</v>
      </c>
      <c r="B195" s="42" t="s">
        <v>168</v>
      </c>
      <c r="D195" s="45">
        <v>38139</v>
      </c>
      <c r="E195" s="45">
        <v>40695</v>
      </c>
      <c r="F195" s="42" t="s">
        <v>443</v>
      </c>
      <c r="G195" s="42" t="s">
        <v>247</v>
      </c>
      <c r="H195" s="42" t="s">
        <v>11</v>
      </c>
      <c r="I195" s="42" t="s">
        <v>94</v>
      </c>
      <c r="K195" s="42" t="s">
        <v>96</v>
      </c>
    </row>
    <row r="196" spans="1:11" ht="13">
      <c r="A196" s="42" t="s">
        <v>476</v>
      </c>
      <c r="B196" s="42" t="s">
        <v>477</v>
      </c>
      <c r="C196" s="42" t="s">
        <v>478</v>
      </c>
      <c r="D196" s="45">
        <v>39173</v>
      </c>
      <c r="E196" s="45">
        <v>40940</v>
      </c>
      <c r="F196" s="42" t="s">
        <v>443</v>
      </c>
      <c r="G196" s="42" t="s">
        <v>133</v>
      </c>
      <c r="H196" s="53" t="s">
        <v>457</v>
      </c>
      <c r="I196" s="42" t="s">
        <v>94</v>
      </c>
      <c r="K196" s="42" t="s">
        <v>144</v>
      </c>
    </row>
    <row r="197" spans="1:11" ht="13">
      <c r="A197" s="42" t="s">
        <v>479</v>
      </c>
      <c r="B197" s="42" t="s">
        <v>480</v>
      </c>
      <c r="D197" s="45">
        <v>39417</v>
      </c>
      <c r="E197" s="45">
        <v>40940</v>
      </c>
      <c r="F197" s="42" t="s">
        <v>443</v>
      </c>
      <c r="G197" s="42" t="s">
        <v>445</v>
      </c>
      <c r="H197" s="42" t="s">
        <v>458</v>
      </c>
      <c r="I197" s="42" t="s">
        <v>94</v>
      </c>
      <c r="K197" s="42" t="s">
        <v>144</v>
      </c>
    </row>
    <row r="198" spans="1:11" ht="13">
      <c r="A198" s="42" t="s">
        <v>90</v>
      </c>
      <c r="B198" s="42" t="s">
        <v>91</v>
      </c>
      <c r="D198" s="45">
        <v>39326</v>
      </c>
      <c r="E198" s="45">
        <v>40940</v>
      </c>
      <c r="F198" s="42" t="s">
        <v>443</v>
      </c>
      <c r="G198" s="42" t="s">
        <v>93</v>
      </c>
      <c r="H198" s="42" t="s">
        <v>451</v>
      </c>
      <c r="I198" s="42" t="s">
        <v>94</v>
      </c>
      <c r="K198" s="42" t="s">
        <v>144</v>
      </c>
    </row>
    <row r="199" spans="1:11" ht="13">
      <c r="A199" s="42" t="s">
        <v>176</v>
      </c>
      <c r="B199" s="42" t="s">
        <v>177</v>
      </c>
      <c r="D199" s="45">
        <v>40210</v>
      </c>
      <c r="E199" s="45">
        <v>40940</v>
      </c>
      <c r="F199" s="42" t="s">
        <v>443</v>
      </c>
      <c r="G199" s="42" t="s">
        <v>481</v>
      </c>
      <c r="H199" s="42" t="s">
        <v>11</v>
      </c>
      <c r="I199" s="42" t="s">
        <v>94</v>
      </c>
      <c r="K199" s="42" t="s">
        <v>144</v>
      </c>
    </row>
    <row r="200" spans="1:11" ht="13">
      <c r="A200" s="42" t="s">
        <v>415</v>
      </c>
      <c r="B200" s="42" t="s">
        <v>416</v>
      </c>
      <c r="D200" s="45">
        <v>39569</v>
      </c>
      <c r="E200" s="45">
        <v>41365</v>
      </c>
      <c r="F200" s="42" t="s">
        <v>443</v>
      </c>
      <c r="G200" s="42" t="s">
        <v>115</v>
      </c>
      <c r="H200" s="42" t="s">
        <v>458</v>
      </c>
      <c r="I200" s="42" t="s">
        <v>94</v>
      </c>
      <c r="K200" s="42" t="s">
        <v>144</v>
      </c>
    </row>
    <row r="201" spans="1:11" ht="13">
      <c r="A201" s="42" t="s">
        <v>482</v>
      </c>
      <c r="B201" s="42" t="s">
        <v>483</v>
      </c>
      <c r="D201" s="45">
        <v>40695</v>
      </c>
      <c r="E201" s="45">
        <v>41579</v>
      </c>
      <c r="F201" s="42" t="s">
        <v>443</v>
      </c>
      <c r="G201" s="42" t="s">
        <v>484</v>
      </c>
      <c r="H201" s="42" t="s">
        <v>17</v>
      </c>
      <c r="I201" s="42" t="s">
        <v>94</v>
      </c>
      <c r="K201" s="42" t="s">
        <v>96</v>
      </c>
    </row>
    <row r="202" spans="1:11" ht="13">
      <c r="A202" s="42" t="s">
        <v>485</v>
      </c>
      <c r="B202" s="42" t="s">
        <v>486</v>
      </c>
      <c r="D202" s="45">
        <v>40695</v>
      </c>
      <c r="E202" s="45">
        <v>41579</v>
      </c>
      <c r="F202" s="42" t="s">
        <v>443</v>
      </c>
      <c r="G202" s="42" t="s">
        <v>445</v>
      </c>
      <c r="H202" s="42" t="s">
        <v>468</v>
      </c>
      <c r="I202" s="42" t="s">
        <v>94</v>
      </c>
      <c r="K202" s="42" t="s">
        <v>96</v>
      </c>
    </row>
    <row r="203" spans="1:11" ht="13">
      <c r="A203" s="42" t="s">
        <v>418</v>
      </c>
      <c r="B203" s="42" t="s">
        <v>108</v>
      </c>
      <c r="D203" s="45">
        <v>40695</v>
      </c>
      <c r="E203" s="45">
        <v>41579</v>
      </c>
      <c r="F203" s="42" t="s">
        <v>443</v>
      </c>
      <c r="G203" s="42" t="s">
        <v>109</v>
      </c>
      <c r="H203" s="42" t="s">
        <v>487</v>
      </c>
      <c r="I203" s="42" t="s">
        <v>94</v>
      </c>
      <c r="K203" s="42" t="s">
        <v>96</v>
      </c>
    </row>
    <row r="204" spans="1:11" ht="13">
      <c r="A204" s="42" t="s">
        <v>471</v>
      </c>
      <c r="B204" s="42" t="s">
        <v>472</v>
      </c>
      <c r="D204" s="45">
        <v>40695</v>
      </c>
      <c r="E204" s="45">
        <v>41579</v>
      </c>
      <c r="F204" s="42" t="s">
        <v>443</v>
      </c>
      <c r="G204" s="42" t="s">
        <v>445</v>
      </c>
      <c r="H204" s="42" t="s">
        <v>487</v>
      </c>
      <c r="I204" s="42" t="s">
        <v>94</v>
      </c>
      <c r="K204" s="42" t="s">
        <v>96</v>
      </c>
    </row>
    <row r="205" spans="1:11" ht="13">
      <c r="A205" s="42" t="s">
        <v>147</v>
      </c>
      <c r="B205" s="42" t="s">
        <v>488</v>
      </c>
      <c r="C205" s="42" t="s">
        <v>489</v>
      </c>
      <c r="D205" s="45">
        <v>39083</v>
      </c>
      <c r="E205" s="45">
        <v>41730</v>
      </c>
      <c r="F205" s="42" t="s">
        <v>443</v>
      </c>
      <c r="G205" s="42" t="s">
        <v>490</v>
      </c>
      <c r="H205" s="42" t="s">
        <v>22</v>
      </c>
      <c r="I205" s="42" t="s">
        <v>94</v>
      </c>
      <c r="K205" s="42" t="s">
        <v>144</v>
      </c>
    </row>
    <row r="206" spans="1:11" ht="13">
      <c r="A206" s="42" t="s">
        <v>145</v>
      </c>
      <c r="B206" s="42" t="s">
        <v>228</v>
      </c>
      <c r="D206" s="45">
        <v>40940</v>
      </c>
      <c r="E206" s="45">
        <v>42005</v>
      </c>
      <c r="F206" s="42" t="s">
        <v>443</v>
      </c>
      <c r="G206" s="42" t="s">
        <v>470</v>
      </c>
      <c r="H206" s="42" t="s">
        <v>458</v>
      </c>
      <c r="I206" s="42" t="s">
        <v>94</v>
      </c>
      <c r="K206" s="42" t="s">
        <v>144</v>
      </c>
    </row>
    <row r="207" spans="1:11" ht="13">
      <c r="A207" s="42" t="s">
        <v>129</v>
      </c>
      <c r="B207" s="42" t="s">
        <v>130</v>
      </c>
      <c r="D207" s="45">
        <v>40695</v>
      </c>
      <c r="E207" s="45">
        <v>42036</v>
      </c>
      <c r="F207" s="42" t="s">
        <v>443</v>
      </c>
      <c r="G207" s="42" t="s">
        <v>115</v>
      </c>
      <c r="H207" s="42" t="s">
        <v>11</v>
      </c>
      <c r="I207" s="42" t="s">
        <v>94</v>
      </c>
      <c r="K207" s="42" t="s">
        <v>144</v>
      </c>
    </row>
    <row r="208" spans="1:11" ht="13">
      <c r="A208" s="42" t="s">
        <v>491</v>
      </c>
      <c r="B208" s="42" t="s">
        <v>492</v>
      </c>
      <c r="D208" s="45">
        <v>40695</v>
      </c>
      <c r="E208" s="45">
        <v>42064</v>
      </c>
      <c r="F208" s="42" t="s">
        <v>443</v>
      </c>
      <c r="G208" s="42" t="s">
        <v>109</v>
      </c>
      <c r="H208" s="42" t="s">
        <v>451</v>
      </c>
      <c r="I208" s="42" t="s">
        <v>94</v>
      </c>
      <c r="K208" s="42" t="s">
        <v>144</v>
      </c>
    </row>
    <row r="209" spans="1:11" ht="13">
      <c r="A209" s="42" t="s">
        <v>245</v>
      </c>
      <c r="B209" s="42" t="s">
        <v>246</v>
      </c>
      <c r="D209" s="45">
        <v>39600</v>
      </c>
      <c r="E209" s="45">
        <v>42064</v>
      </c>
      <c r="F209" s="42" t="s">
        <v>443</v>
      </c>
      <c r="G209" s="42" t="s">
        <v>493</v>
      </c>
      <c r="H209" s="42" t="s">
        <v>21</v>
      </c>
      <c r="I209" s="42" t="s">
        <v>94</v>
      </c>
      <c r="K209" s="42" t="s">
        <v>96</v>
      </c>
    </row>
    <row r="210" spans="1:11" ht="13">
      <c r="A210" s="42" t="s">
        <v>268</v>
      </c>
      <c r="B210" s="42" t="s">
        <v>494</v>
      </c>
      <c r="D210" s="45">
        <v>41579</v>
      </c>
      <c r="E210" s="45">
        <v>42401</v>
      </c>
      <c r="F210" s="42" t="s">
        <v>443</v>
      </c>
      <c r="G210" s="42" t="s">
        <v>115</v>
      </c>
      <c r="H210" s="42" t="s">
        <v>11</v>
      </c>
      <c r="I210" s="42" t="s">
        <v>94</v>
      </c>
      <c r="K210" s="42" t="s">
        <v>144</v>
      </c>
    </row>
    <row r="211" spans="1:11" ht="13">
      <c r="A211" s="42" t="s">
        <v>270</v>
      </c>
      <c r="B211" s="42" t="s">
        <v>271</v>
      </c>
      <c r="D211" s="45">
        <v>42036</v>
      </c>
      <c r="E211" s="45">
        <v>42795</v>
      </c>
      <c r="F211" s="42" t="s">
        <v>443</v>
      </c>
      <c r="G211" s="42" t="s">
        <v>445</v>
      </c>
      <c r="H211" s="42" t="s">
        <v>11</v>
      </c>
      <c r="I211" s="42" t="s">
        <v>94</v>
      </c>
      <c r="K211" s="42" t="s">
        <v>144</v>
      </c>
    </row>
    <row r="212" spans="1:11" ht="13">
      <c r="A212" s="42" t="s">
        <v>495</v>
      </c>
      <c r="B212" s="42" t="s">
        <v>496</v>
      </c>
      <c r="C212" s="42" t="s">
        <v>497</v>
      </c>
      <c r="D212" s="45">
        <v>41334</v>
      </c>
      <c r="E212" s="45">
        <v>42826</v>
      </c>
      <c r="F212" s="42" t="s">
        <v>443</v>
      </c>
      <c r="G212" s="42" t="s">
        <v>356</v>
      </c>
      <c r="H212" s="42" t="s">
        <v>458</v>
      </c>
      <c r="I212" s="42" t="s">
        <v>94</v>
      </c>
      <c r="K212" s="42" t="s">
        <v>144</v>
      </c>
    </row>
    <row r="213" spans="1:11" ht="13">
      <c r="A213" s="42" t="s">
        <v>362</v>
      </c>
      <c r="B213" s="42" t="s">
        <v>361</v>
      </c>
      <c r="D213" s="45">
        <v>42401</v>
      </c>
      <c r="E213" s="45">
        <v>42856</v>
      </c>
      <c r="F213" s="42" t="s">
        <v>443</v>
      </c>
      <c r="G213" s="42" t="s">
        <v>498</v>
      </c>
      <c r="H213" s="42" t="s">
        <v>451</v>
      </c>
      <c r="I213" s="42" t="s">
        <v>94</v>
      </c>
      <c r="K213" s="42" t="s">
        <v>144</v>
      </c>
    </row>
    <row r="214" spans="1:11" ht="13">
      <c r="A214" s="42" t="s">
        <v>260</v>
      </c>
      <c r="B214" s="42" t="s">
        <v>261</v>
      </c>
      <c r="D214" s="45">
        <v>41579</v>
      </c>
      <c r="E214" s="45">
        <v>42979</v>
      </c>
      <c r="F214" s="42" t="s">
        <v>443</v>
      </c>
      <c r="G214" s="42" t="s">
        <v>499</v>
      </c>
      <c r="H214" s="42" t="s">
        <v>17</v>
      </c>
      <c r="I214" s="42" t="s">
        <v>94</v>
      </c>
      <c r="K214" s="42" t="s">
        <v>96</v>
      </c>
    </row>
    <row r="215" spans="1:11" ht="13">
      <c r="A215" s="42" t="s">
        <v>500</v>
      </c>
      <c r="B215" s="42" t="s">
        <v>230</v>
      </c>
      <c r="D215" s="45">
        <v>41579</v>
      </c>
      <c r="E215" s="45">
        <v>42979</v>
      </c>
      <c r="F215" s="42" t="s">
        <v>443</v>
      </c>
      <c r="G215" s="42" t="s">
        <v>169</v>
      </c>
      <c r="H215" s="42" t="s">
        <v>468</v>
      </c>
      <c r="I215" s="42" t="s">
        <v>94</v>
      </c>
      <c r="K215" s="42" t="s">
        <v>144</v>
      </c>
    </row>
    <row r="216" spans="1:11" ht="13">
      <c r="A216" s="42" t="s">
        <v>501</v>
      </c>
      <c r="B216" s="42" t="s">
        <v>502</v>
      </c>
      <c r="D216" s="45">
        <v>41579</v>
      </c>
      <c r="E216" s="45">
        <v>43009</v>
      </c>
      <c r="F216" s="42" t="s">
        <v>443</v>
      </c>
      <c r="G216" s="42" t="s">
        <v>115</v>
      </c>
      <c r="H216" s="42" t="s">
        <v>487</v>
      </c>
      <c r="I216" s="42" t="s">
        <v>94</v>
      </c>
      <c r="K216" s="42" t="s">
        <v>144</v>
      </c>
    </row>
    <row r="217" spans="1:11" ht="13">
      <c r="A217" s="42" t="s">
        <v>503</v>
      </c>
      <c r="B217" s="42" t="s">
        <v>504</v>
      </c>
      <c r="D217" s="45">
        <v>42795</v>
      </c>
      <c r="E217" s="45">
        <v>43160</v>
      </c>
      <c r="F217" s="42" t="s">
        <v>443</v>
      </c>
      <c r="G217" s="42" t="s">
        <v>470</v>
      </c>
      <c r="H217" s="42" t="s">
        <v>451</v>
      </c>
      <c r="I217" s="42" t="s">
        <v>94</v>
      </c>
      <c r="K217" s="42" t="s">
        <v>144</v>
      </c>
    </row>
    <row r="218" spans="1:11" ht="13">
      <c r="A218" s="42" t="s">
        <v>432</v>
      </c>
      <c r="B218" s="42" t="s">
        <v>433</v>
      </c>
      <c r="D218" s="45">
        <v>42430</v>
      </c>
      <c r="E218" s="45">
        <v>43160</v>
      </c>
      <c r="F218" s="42" t="s">
        <v>443</v>
      </c>
      <c r="G218" s="42" t="s">
        <v>505</v>
      </c>
      <c r="H218" s="42" t="s">
        <v>21</v>
      </c>
      <c r="I218" s="42" t="s">
        <v>94</v>
      </c>
      <c r="K218" s="42" t="s">
        <v>144</v>
      </c>
    </row>
    <row r="219" spans="1:11" ht="13">
      <c r="A219" s="42" t="s">
        <v>268</v>
      </c>
      <c r="B219" s="42" t="s">
        <v>494</v>
      </c>
      <c r="D219" s="45">
        <v>42401</v>
      </c>
      <c r="E219" s="45">
        <v>43160</v>
      </c>
      <c r="F219" s="42" t="s">
        <v>443</v>
      </c>
      <c r="G219" s="42" t="s">
        <v>115</v>
      </c>
      <c r="H219" s="42" t="s">
        <v>11</v>
      </c>
      <c r="I219" s="42" t="s">
        <v>94</v>
      </c>
      <c r="K219" s="42" t="s">
        <v>144</v>
      </c>
    </row>
    <row r="220" spans="1:11" ht="13">
      <c r="A220" s="42" t="s">
        <v>431</v>
      </c>
      <c r="B220" s="42" t="s">
        <v>140</v>
      </c>
      <c r="C220" s="42" t="s">
        <v>506</v>
      </c>
      <c r="D220" s="45">
        <v>41000</v>
      </c>
      <c r="E220" s="45">
        <v>43191</v>
      </c>
      <c r="F220" s="42" t="s">
        <v>443</v>
      </c>
      <c r="G220" s="42" t="s">
        <v>407</v>
      </c>
      <c r="H220" s="53" t="s">
        <v>457</v>
      </c>
      <c r="I220" s="42" t="s">
        <v>94</v>
      </c>
      <c r="K220" s="42" t="s">
        <v>144</v>
      </c>
    </row>
    <row r="221" spans="1:11" ht="13">
      <c r="A221" s="42" t="s">
        <v>137</v>
      </c>
      <c r="B221" s="42" t="s">
        <v>507</v>
      </c>
      <c r="C221" s="42" t="s">
        <v>508</v>
      </c>
      <c r="D221" s="45">
        <v>41699</v>
      </c>
      <c r="E221" s="45">
        <v>43191</v>
      </c>
      <c r="F221" s="42" t="s">
        <v>443</v>
      </c>
      <c r="G221" s="42" t="s">
        <v>115</v>
      </c>
      <c r="H221" s="42" t="s">
        <v>22</v>
      </c>
      <c r="I221" s="42" t="s">
        <v>94</v>
      </c>
      <c r="K221" s="42" t="s">
        <v>144</v>
      </c>
    </row>
    <row r="222" spans="1:11" ht="13">
      <c r="A222" s="42" t="s">
        <v>509</v>
      </c>
      <c r="B222" s="42" t="s">
        <v>165</v>
      </c>
      <c r="C222" s="42" t="s">
        <v>510</v>
      </c>
      <c r="D222" s="45">
        <v>42430</v>
      </c>
      <c r="E222" s="45">
        <v>43191</v>
      </c>
      <c r="F222" s="42" t="s">
        <v>443</v>
      </c>
      <c r="G222" s="42" t="s">
        <v>115</v>
      </c>
      <c r="H222" s="42" t="s">
        <v>458</v>
      </c>
      <c r="I222" s="42" t="s">
        <v>94</v>
      </c>
      <c r="K222" s="42" t="s">
        <v>144</v>
      </c>
    </row>
    <row r="223" spans="1:11" ht="13">
      <c r="A223" s="42" t="s">
        <v>509</v>
      </c>
      <c r="B223" s="42" t="s">
        <v>165</v>
      </c>
      <c r="D223" s="45">
        <v>42005</v>
      </c>
      <c r="E223" s="45">
        <v>43191</v>
      </c>
      <c r="F223" s="42" t="s">
        <v>443</v>
      </c>
      <c r="G223" s="42" t="s">
        <v>115</v>
      </c>
      <c r="H223" s="42" t="s">
        <v>458</v>
      </c>
      <c r="I223" s="42" t="s">
        <v>94</v>
      </c>
      <c r="K223" s="42" t="s">
        <v>144</v>
      </c>
    </row>
    <row r="224" spans="1:11" ht="13">
      <c r="A224" s="42" t="s">
        <v>459</v>
      </c>
      <c r="B224" s="42" t="s">
        <v>460</v>
      </c>
      <c r="D224" s="45">
        <v>43160</v>
      </c>
      <c r="E224" s="45">
        <v>43313</v>
      </c>
      <c r="F224" s="42" t="s">
        <v>443</v>
      </c>
      <c r="H224" s="42" t="s">
        <v>21</v>
      </c>
      <c r="I224" s="42" t="s">
        <v>94</v>
      </c>
      <c r="K224" s="42" t="s">
        <v>144</v>
      </c>
    </row>
    <row r="225" spans="1:11" ht="13">
      <c r="A225" s="42" t="s">
        <v>511</v>
      </c>
      <c r="B225" s="42" t="s">
        <v>512</v>
      </c>
      <c r="D225" s="45">
        <v>42552</v>
      </c>
      <c r="E225" s="45">
        <v>43344</v>
      </c>
      <c r="F225" s="42" t="s">
        <v>443</v>
      </c>
      <c r="G225" s="42" t="s">
        <v>445</v>
      </c>
      <c r="H225" s="42" t="s">
        <v>513</v>
      </c>
      <c r="I225" s="42" t="s">
        <v>94</v>
      </c>
      <c r="K225" s="42" t="s">
        <v>144</v>
      </c>
    </row>
    <row r="226" spans="1:11" ht="13">
      <c r="A226" s="42" t="s">
        <v>514</v>
      </c>
      <c r="B226" s="42" t="s">
        <v>320</v>
      </c>
      <c r="D226" s="45">
        <v>43160</v>
      </c>
      <c r="E226" s="45">
        <v>43525</v>
      </c>
      <c r="F226" s="42" t="s">
        <v>443</v>
      </c>
      <c r="G226" s="42" t="s">
        <v>470</v>
      </c>
      <c r="H226" s="42" t="s">
        <v>451</v>
      </c>
      <c r="I226" s="42" t="s">
        <v>94</v>
      </c>
      <c r="K226" s="42" t="s">
        <v>96</v>
      </c>
    </row>
    <row r="227" spans="1:11" ht="13">
      <c r="A227" s="42" t="s">
        <v>379</v>
      </c>
      <c r="B227" s="42" t="s">
        <v>380</v>
      </c>
      <c r="D227" s="45">
        <v>42795</v>
      </c>
      <c r="E227" s="45">
        <v>43525</v>
      </c>
      <c r="F227" s="42" t="s">
        <v>443</v>
      </c>
      <c r="G227" s="42" t="s">
        <v>515</v>
      </c>
      <c r="H227" s="42" t="s">
        <v>21</v>
      </c>
      <c r="I227" s="42" t="s">
        <v>94</v>
      </c>
      <c r="K227" s="42" t="s">
        <v>144</v>
      </c>
    </row>
    <row r="228" spans="1:11" ht="13">
      <c r="A228" s="42" t="s">
        <v>270</v>
      </c>
      <c r="B228" s="42" t="s">
        <v>271</v>
      </c>
      <c r="D228" s="45">
        <v>42767</v>
      </c>
      <c r="E228" s="45">
        <v>43525</v>
      </c>
      <c r="F228" s="42" t="s">
        <v>443</v>
      </c>
      <c r="G228" s="42" t="s">
        <v>445</v>
      </c>
      <c r="H228" s="42" t="s">
        <v>11</v>
      </c>
      <c r="I228" s="42" t="s">
        <v>94</v>
      </c>
      <c r="K228" s="42" t="s">
        <v>144</v>
      </c>
    </row>
    <row r="229" spans="1:11" ht="13">
      <c r="A229" s="42" t="s">
        <v>516</v>
      </c>
      <c r="B229" s="42" t="s">
        <v>517</v>
      </c>
      <c r="D229" s="45">
        <v>42795</v>
      </c>
      <c r="E229" s="45">
        <v>43556</v>
      </c>
      <c r="F229" s="42" t="s">
        <v>443</v>
      </c>
      <c r="G229" s="42" t="s">
        <v>175</v>
      </c>
      <c r="H229" s="42" t="s">
        <v>458</v>
      </c>
      <c r="I229" s="42" t="s">
        <v>94</v>
      </c>
      <c r="K229" s="42" t="s">
        <v>144</v>
      </c>
    </row>
    <row r="230" spans="1:11" ht="13">
      <c r="A230" s="42" t="s">
        <v>518</v>
      </c>
      <c r="B230" s="42" t="s">
        <v>492</v>
      </c>
      <c r="C230" s="42" t="s">
        <v>519</v>
      </c>
      <c r="D230" s="46"/>
      <c r="E230" s="45">
        <v>36160</v>
      </c>
      <c r="F230" s="42" t="s">
        <v>443</v>
      </c>
      <c r="G230" s="34" t="s">
        <v>133</v>
      </c>
      <c r="H230" s="42" t="s">
        <v>520</v>
      </c>
      <c r="I230" s="42" t="s">
        <v>94</v>
      </c>
    </row>
    <row r="231" spans="1:11" ht="13">
      <c r="A231" s="42" t="s">
        <v>521</v>
      </c>
      <c r="B231" s="42" t="s">
        <v>522</v>
      </c>
      <c r="D231" s="54">
        <v>39904</v>
      </c>
      <c r="E231" s="46"/>
      <c r="F231" s="42" t="s">
        <v>443</v>
      </c>
      <c r="G231" s="42" t="s">
        <v>115</v>
      </c>
      <c r="H231" s="42" t="s">
        <v>520</v>
      </c>
      <c r="I231" s="42" t="s">
        <v>94</v>
      </c>
    </row>
    <row r="232" spans="1:11" ht="13">
      <c r="D232" s="46"/>
      <c r="E232" s="46"/>
    </row>
    <row r="233" spans="1:11" ht="13">
      <c r="D233" s="46"/>
      <c r="E233" s="46"/>
    </row>
    <row r="234" spans="1:11" ht="13">
      <c r="D234" s="46"/>
      <c r="E234" s="46"/>
    </row>
    <row r="235" spans="1:11" ht="13">
      <c r="D235" s="46"/>
      <c r="E235" s="46"/>
    </row>
    <row r="236" spans="1:11" ht="13">
      <c r="D236" s="46"/>
      <c r="E236" s="46"/>
    </row>
    <row r="237" spans="1:11" ht="13">
      <c r="D237" s="46"/>
      <c r="E237" s="46"/>
    </row>
    <row r="238" spans="1:11" ht="13">
      <c r="D238" s="46"/>
      <c r="E238" s="46"/>
    </row>
    <row r="239" spans="1:11" ht="13">
      <c r="D239" s="46"/>
      <c r="E239" s="46"/>
    </row>
    <row r="240" spans="1:11" ht="13">
      <c r="D240" s="46"/>
      <c r="E240" s="46"/>
    </row>
    <row r="241" spans="4:5" ht="13">
      <c r="D241" s="46"/>
      <c r="E241" s="46"/>
    </row>
    <row r="242" spans="4:5" ht="13">
      <c r="D242" s="46"/>
      <c r="E242" s="46"/>
    </row>
    <row r="243" spans="4:5" ht="13">
      <c r="D243" s="46"/>
      <c r="E243" s="46"/>
    </row>
    <row r="244" spans="4:5" ht="13">
      <c r="D244" s="46"/>
      <c r="E244" s="46"/>
    </row>
    <row r="245" spans="4:5" ht="13">
      <c r="D245" s="46"/>
      <c r="E245" s="46"/>
    </row>
    <row r="246" spans="4:5" ht="13">
      <c r="D246" s="46"/>
      <c r="E246" s="46"/>
    </row>
    <row r="247" spans="4:5" ht="13">
      <c r="D247" s="46"/>
      <c r="E247" s="46"/>
    </row>
    <row r="248" spans="4:5" ht="13">
      <c r="D248" s="46"/>
      <c r="E248" s="46"/>
    </row>
    <row r="249" spans="4:5" ht="13">
      <c r="D249" s="46"/>
      <c r="E249" s="46"/>
    </row>
    <row r="250" spans="4:5" ht="13">
      <c r="D250" s="46"/>
      <c r="E250" s="46"/>
    </row>
    <row r="251" spans="4:5" ht="13">
      <c r="D251" s="46"/>
      <c r="E251" s="46"/>
    </row>
    <row r="252" spans="4:5" ht="13">
      <c r="D252" s="46"/>
      <c r="E252" s="46"/>
    </row>
    <row r="253" spans="4:5" ht="13">
      <c r="D253" s="46"/>
      <c r="E253" s="46"/>
    </row>
    <row r="254" spans="4:5" ht="13">
      <c r="D254" s="46"/>
      <c r="E254" s="46"/>
    </row>
    <row r="255" spans="4:5" ht="13">
      <c r="D255" s="46"/>
      <c r="E255" s="46"/>
    </row>
    <row r="256" spans="4:5" ht="13">
      <c r="D256" s="46"/>
      <c r="E256" s="46"/>
    </row>
    <row r="257" spans="4:5" ht="13">
      <c r="D257" s="46"/>
      <c r="E257" s="46"/>
    </row>
    <row r="258" spans="4:5" ht="13">
      <c r="D258" s="46"/>
      <c r="E258" s="46"/>
    </row>
    <row r="259" spans="4:5" ht="13">
      <c r="D259" s="46"/>
      <c r="E259" s="46"/>
    </row>
    <row r="260" spans="4:5" ht="13">
      <c r="D260" s="46"/>
      <c r="E260" s="46"/>
    </row>
    <row r="261" spans="4:5" ht="13">
      <c r="D261" s="46"/>
      <c r="E261" s="46"/>
    </row>
    <row r="262" spans="4:5" ht="13">
      <c r="D262" s="46"/>
      <c r="E262" s="46"/>
    </row>
    <row r="263" spans="4:5" ht="13">
      <c r="D263" s="46"/>
      <c r="E263" s="46"/>
    </row>
    <row r="264" spans="4:5" ht="13">
      <c r="D264" s="46"/>
      <c r="E264" s="46"/>
    </row>
    <row r="265" spans="4:5" ht="13">
      <c r="D265" s="46"/>
      <c r="E265" s="46"/>
    </row>
    <row r="266" spans="4:5" ht="13">
      <c r="D266" s="46"/>
      <c r="E266" s="46"/>
    </row>
    <row r="267" spans="4:5" ht="13">
      <c r="D267" s="46"/>
      <c r="E267" s="46"/>
    </row>
    <row r="268" spans="4:5" ht="13">
      <c r="D268" s="46"/>
      <c r="E268" s="46"/>
    </row>
    <row r="269" spans="4:5" ht="13">
      <c r="D269" s="46"/>
      <c r="E269" s="46"/>
    </row>
    <row r="270" spans="4:5" ht="13">
      <c r="D270" s="46"/>
      <c r="E270" s="46"/>
    </row>
    <row r="271" spans="4:5" ht="13">
      <c r="D271" s="46"/>
      <c r="E271" s="46"/>
    </row>
    <row r="272" spans="4:5" ht="13">
      <c r="D272" s="46"/>
      <c r="E272" s="46"/>
    </row>
    <row r="273" spans="4:5" ht="13">
      <c r="D273" s="46"/>
      <c r="E273" s="46"/>
    </row>
    <row r="274" spans="4:5" ht="13">
      <c r="D274" s="46"/>
      <c r="E274" s="46"/>
    </row>
    <row r="275" spans="4:5" ht="13">
      <c r="D275" s="46"/>
      <c r="E275" s="46"/>
    </row>
    <row r="276" spans="4:5" ht="13">
      <c r="D276" s="46"/>
      <c r="E276" s="46"/>
    </row>
    <row r="277" spans="4:5" ht="13">
      <c r="D277" s="46"/>
      <c r="E277" s="46"/>
    </row>
    <row r="278" spans="4:5" ht="13">
      <c r="D278" s="46"/>
      <c r="E278" s="46"/>
    </row>
    <row r="279" spans="4:5" ht="13">
      <c r="D279" s="46"/>
      <c r="E279" s="46"/>
    </row>
    <row r="280" spans="4:5" ht="13">
      <c r="D280" s="46"/>
      <c r="E280" s="46"/>
    </row>
    <row r="281" spans="4:5" ht="13">
      <c r="D281" s="46"/>
      <c r="E281" s="46"/>
    </row>
    <row r="282" spans="4:5" ht="13">
      <c r="D282" s="46"/>
      <c r="E282" s="46"/>
    </row>
    <row r="283" spans="4:5" ht="13">
      <c r="D283" s="46"/>
      <c r="E283" s="46"/>
    </row>
    <row r="284" spans="4:5" ht="13">
      <c r="D284" s="46"/>
      <c r="E284" s="46"/>
    </row>
    <row r="285" spans="4:5" ht="13">
      <c r="D285" s="46"/>
      <c r="E285" s="46"/>
    </row>
    <row r="286" spans="4:5" ht="13">
      <c r="D286" s="46"/>
      <c r="E286" s="46"/>
    </row>
    <row r="287" spans="4:5" ht="13">
      <c r="D287" s="46"/>
      <c r="E287" s="46"/>
    </row>
    <row r="288" spans="4:5" ht="13">
      <c r="D288" s="46"/>
      <c r="E288" s="46"/>
    </row>
    <row r="289" spans="4:5" ht="13">
      <c r="D289" s="46"/>
      <c r="E289" s="46"/>
    </row>
    <row r="290" spans="4:5" ht="13">
      <c r="D290" s="46"/>
      <c r="E290" s="46"/>
    </row>
    <row r="291" spans="4:5" ht="13">
      <c r="D291" s="46"/>
      <c r="E291" s="46"/>
    </row>
    <row r="292" spans="4:5" ht="13">
      <c r="D292" s="46"/>
      <c r="E292" s="46"/>
    </row>
    <row r="293" spans="4:5" ht="13">
      <c r="D293" s="46"/>
      <c r="E293" s="46"/>
    </row>
    <row r="294" spans="4:5" ht="13">
      <c r="D294" s="46"/>
      <c r="E294" s="46"/>
    </row>
    <row r="295" spans="4:5" ht="13">
      <c r="D295" s="46"/>
      <c r="E295" s="46"/>
    </row>
    <row r="296" spans="4:5" ht="13">
      <c r="D296" s="46"/>
      <c r="E296" s="46"/>
    </row>
    <row r="297" spans="4:5" ht="13">
      <c r="D297" s="46"/>
      <c r="E297" s="46"/>
    </row>
    <row r="298" spans="4:5" ht="13">
      <c r="D298" s="46"/>
      <c r="E298" s="46"/>
    </row>
    <row r="299" spans="4:5" ht="13">
      <c r="D299" s="46"/>
      <c r="E299" s="46"/>
    </row>
    <row r="300" spans="4:5" ht="13">
      <c r="D300" s="46"/>
      <c r="E300" s="46"/>
    </row>
    <row r="301" spans="4:5" ht="13">
      <c r="D301" s="46"/>
      <c r="E301" s="46"/>
    </row>
    <row r="302" spans="4:5" ht="13">
      <c r="D302" s="46"/>
      <c r="E302" s="46"/>
    </row>
    <row r="303" spans="4:5" ht="13">
      <c r="D303" s="46"/>
      <c r="E303" s="46"/>
    </row>
    <row r="304" spans="4:5" ht="13">
      <c r="D304" s="46"/>
      <c r="E304" s="46"/>
    </row>
    <row r="305" spans="4:5" ht="13">
      <c r="D305" s="46"/>
      <c r="E305" s="46"/>
    </row>
    <row r="306" spans="4:5" ht="13">
      <c r="D306" s="46"/>
      <c r="E306" s="46"/>
    </row>
    <row r="307" spans="4:5" ht="13">
      <c r="D307" s="46"/>
      <c r="E307" s="46"/>
    </row>
    <row r="308" spans="4:5" ht="13">
      <c r="D308" s="46"/>
      <c r="E308" s="46"/>
    </row>
    <row r="309" spans="4:5" ht="13">
      <c r="D309" s="46"/>
      <c r="E309" s="46"/>
    </row>
    <row r="310" spans="4:5" ht="13">
      <c r="D310" s="46"/>
      <c r="E310" s="46"/>
    </row>
    <row r="311" spans="4:5" ht="13">
      <c r="D311" s="46"/>
      <c r="E311" s="46"/>
    </row>
    <row r="312" spans="4:5" ht="13">
      <c r="D312" s="46"/>
      <c r="E312" s="46"/>
    </row>
    <row r="313" spans="4:5" ht="13">
      <c r="D313" s="46"/>
      <c r="E313" s="46"/>
    </row>
    <row r="314" spans="4:5" ht="13">
      <c r="D314" s="46"/>
      <c r="E314" s="46"/>
    </row>
    <row r="315" spans="4:5" ht="13">
      <c r="D315" s="46"/>
      <c r="E315" s="46"/>
    </row>
    <row r="316" spans="4:5" ht="13">
      <c r="D316" s="46"/>
      <c r="E316" s="46"/>
    </row>
    <row r="317" spans="4:5" ht="13">
      <c r="D317" s="46"/>
      <c r="E317" s="46"/>
    </row>
    <row r="318" spans="4:5" ht="13">
      <c r="D318" s="46"/>
      <c r="E318" s="46"/>
    </row>
    <row r="319" spans="4:5" ht="13">
      <c r="D319" s="46"/>
      <c r="E319" s="46"/>
    </row>
    <row r="320" spans="4:5" ht="13">
      <c r="D320" s="46"/>
      <c r="E320" s="46"/>
    </row>
    <row r="321" spans="4:5" ht="13">
      <c r="D321" s="46"/>
      <c r="E321" s="46"/>
    </row>
    <row r="322" spans="4:5" ht="13">
      <c r="D322" s="46"/>
      <c r="E322" s="46"/>
    </row>
    <row r="323" spans="4:5" ht="13">
      <c r="D323" s="46"/>
      <c r="E323" s="46"/>
    </row>
    <row r="324" spans="4:5" ht="13">
      <c r="D324" s="46"/>
      <c r="E324" s="46"/>
    </row>
    <row r="325" spans="4:5" ht="13">
      <c r="D325" s="46"/>
      <c r="E325" s="46"/>
    </row>
    <row r="326" spans="4:5" ht="13">
      <c r="D326" s="46"/>
      <c r="E326" s="46"/>
    </row>
    <row r="327" spans="4:5" ht="13">
      <c r="D327" s="46"/>
      <c r="E327" s="46"/>
    </row>
    <row r="328" spans="4:5" ht="13">
      <c r="D328" s="46"/>
      <c r="E328" s="46"/>
    </row>
    <row r="329" spans="4:5" ht="13">
      <c r="D329" s="46"/>
      <c r="E329" s="46"/>
    </row>
    <row r="330" spans="4:5" ht="13">
      <c r="D330" s="46"/>
      <c r="E330" s="46"/>
    </row>
    <row r="331" spans="4:5" ht="13">
      <c r="D331" s="46"/>
      <c r="E331" s="46"/>
    </row>
    <row r="332" spans="4:5" ht="13">
      <c r="D332" s="46"/>
      <c r="E332" s="46"/>
    </row>
    <row r="333" spans="4:5" ht="13">
      <c r="D333" s="46"/>
      <c r="E333" s="46"/>
    </row>
    <row r="334" spans="4:5" ht="13">
      <c r="D334" s="46"/>
      <c r="E334" s="46"/>
    </row>
    <row r="335" spans="4:5" ht="13">
      <c r="D335" s="46"/>
      <c r="E335" s="46"/>
    </row>
    <row r="336" spans="4:5" ht="13">
      <c r="D336" s="46"/>
      <c r="E336" s="46"/>
    </row>
    <row r="337" spans="4:5" ht="13">
      <c r="D337" s="46"/>
      <c r="E337" s="46"/>
    </row>
    <row r="338" spans="4:5" ht="13">
      <c r="D338" s="46"/>
      <c r="E338" s="46"/>
    </row>
    <row r="339" spans="4:5" ht="13">
      <c r="D339" s="46"/>
      <c r="E339" s="46"/>
    </row>
    <row r="340" spans="4:5" ht="13">
      <c r="D340" s="46"/>
      <c r="E340" s="46"/>
    </row>
    <row r="341" spans="4:5" ht="13">
      <c r="D341" s="46"/>
      <c r="E341" s="46"/>
    </row>
    <row r="342" spans="4:5" ht="13">
      <c r="D342" s="46"/>
      <c r="E342" s="46"/>
    </row>
    <row r="343" spans="4:5" ht="13">
      <c r="D343" s="46"/>
      <c r="E343" s="46"/>
    </row>
    <row r="344" spans="4:5" ht="13">
      <c r="D344" s="46"/>
      <c r="E344" s="46"/>
    </row>
    <row r="345" spans="4:5" ht="13">
      <c r="D345" s="46"/>
      <c r="E345" s="46"/>
    </row>
    <row r="346" spans="4:5" ht="13">
      <c r="D346" s="46"/>
      <c r="E346" s="46"/>
    </row>
    <row r="347" spans="4:5" ht="13">
      <c r="D347" s="46"/>
      <c r="E347" s="46"/>
    </row>
    <row r="348" spans="4:5" ht="13">
      <c r="D348" s="46"/>
      <c r="E348" s="46"/>
    </row>
    <row r="349" spans="4:5" ht="13">
      <c r="D349" s="46"/>
      <c r="E349" s="46"/>
    </row>
    <row r="350" spans="4:5" ht="13">
      <c r="D350" s="46"/>
      <c r="E350" s="46"/>
    </row>
    <row r="351" spans="4:5" ht="13">
      <c r="D351" s="46"/>
      <c r="E351" s="46"/>
    </row>
    <row r="352" spans="4:5" ht="13">
      <c r="D352" s="46"/>
      <c r="E352" s="46"/>
    </row>
    <row r="353" spans="4:5" ht="13">
      <c r="D353" s="46"/>
      <c r="E353" s="46"/>
    </row>
    <row r="354" spans="4:5" ht="13">
      <c r="D354" s="46"/>
      <c r="E354" s="46"/>
    </row>
    <row r="355" spans="4:5" ht="13">
      <c r="D355" s="46"/>
      <c r="E355" s="46"/>
    </row>
    <row r="356" spans="4:5" ht="13">
      <c r="D356" s="46"/>
      <c r="E356" s="46"/>
    </row>
    <row r="357" spans="4:5" ht="13">
      <c r="D357" s="46"/>
      <c r="E357" s="46"/>
    </row>
    <row r="358" spans="4:5" ht="13">
      <c r="D358" s="46"/>
      <c r="E358" s="46"/>
    </row>
    <row r="359" spans="4:5" ht="13">
      <c r="D359" s="46"/>
      <c r="E359" s="46"/>
    </row>
    <row r="360" spans="4:5" ht="13">
      <c r="D360" s="46"/>
      <c r="E360" s="46"/>
    </row>
    <row r="361" spans="4:5" ht="13">
      <c r="D361" s="46"/>
      <c r="E361" s="46"/>
    </row>
    <row r="362" spans="4:5" ht="13">
      <c r="D362" s="46"/>
      <c r="E362" s="46"/>
    </row>
    <row r="363" spans="4:5" ht="13">
      <c r="D363" s="46"/>
      <c r="E363" s="46"/>
    </row>
    <row r="364" spans="4:5" ht="13">
      <c r="D364" s="46"/>
      <c r="E364" s="46"/>
    </row>
    <row r="365" spans="4:5" ht="13">
      <c r="D365" s="46"/>
      <c r="E365" s="46"/>
    </row>
    <row r="366" spans="4:5" ht="13">
      <c r="D366" s="46"/>
      <c r="E366" s="46"/>
    </row>
    <row r="367" spans="4:5" ht="13">
      <c r="D367" s="46"/>
      <c r="E367" s="46"/>
    </row>
    <row r="368" spans="4:5" ht="13">
      <c r="D368" s="46"/>
      <c r="E368" s="46"/>
    </row>
    <row r="369" spans="4:5" ht="13">
      <c r="D369" s="46"/>
      <c r="E369" s="46"/>
    </row>
    <row r="370" spans="4:5" ht="13">
      <c r="D370" s="46"/>
      <c r="E370" s="46"/>
    </row>
    <row r="371" spans="4:5" ht="13">
      <c r="D371" s="46"/>
      <c r="E371" s="46"/>
    </row>
    <row r="372" spans="4:5" ht="13">
      <c r="D372" s="46"/>
      <c r="E372" s="46"/>
    </row>
    <row r="373" spans="4:5" ht="13">
      <c r="D373" s="46"/>
      <c r="E373" s="46"/>
    </row>
    <row r="374" spans="4:5" ht="13">
      <c r="D374" s="46"/>
      <c r="E374" s="46"/>
    </row>
    <row r="375" spans="4:5" ht="13">
      <c r="D375" s="46"/>
      <c r="E375" s="46"/>
    </row>
    <row r="376" spans="4:5" ht="13">
      <c r="D376" s="46"/>
      <c r="E376" s="46"/>
    </row>
    <row r="377" spans="4:5" ht="13">
      <c r="D377" s="46"/>
      <c r="E377" s="46"/>
    </row>
    <row r="378" spans="4:5" ht="13">
      <c r="D378" s="46"/>
      <c r="E378" s="46"/>
    </row>
    <row r="379" spans="4:5" ht="13">
      <c r="D379" s="46"/>
      <c r="E379" s="46"/>
    </row>
    <row r="380" spans="4:5" ht="13">
      <c r="D380" s="46"/>
      <c r="E380" s="46"/>
    </row>
    <row r="381" spans="4:5" ht="13">
      <c r="D381" s="46"/>
      <c r="E381" s="46"/>
    </row>
    <row r="382" spans="4:5" ht="13">
      <c r="D382" s="46"/>
      <c r="E382" s="46"/>
    </row>
    <row r="383" spans="4:5" ht="13">
      <c r="D383" s="46"/>
      <c r="E383" s="46"/>
    </row>
    <row r="384" spans="4:5" ht="13">
      <c r="D384" s="46"/>
      <c r="E384" s="46"/>
    </row>
    <row r="385" spans="4:5" ht="13">
      <c r="D385" s="46"/>
      <c r="E385" s="46"/>
    </row>
    <row r="386" spans="4:5" ht="13">
      <c r="D386" s="46"/>
      <c r="E386" s="46"/>
    </row>
    <row r="387" spans="4:5" ht="13">
      <c r="D387" s="46"/>
      <c r="E387" s="46"/>
    </row>
    <row r="388" spans="4:5" ht="13">
      <c r="D388" s="46"/>
      <c r="E388" s="46"/>
    </row>
    <row r="389" spans="4:5" ht="13">
      <c r="D389" s="46"/>
      <c r="E389" s="46"/>
    </row>
    <row r="390" spans="4:5" ht="13">
      <c r="D390" s="46"/>
      <c r="E390" s="46"/>
    </row>
    <row r="391" spans="4:5" ht="13">
      <c r="D391" s="46"/>
      <c r="E391" s="46"/>
    </row>
    <row r="392" spans="4:5" ht="13">
      <c r="D392" s="46"/>
      <c r="E392" s="46"/>
    </row>
    <row r="393" spans="4:5" ht="13">
      <c r="D393" s="46"/>
      <c r="E393" s="46"/>
    </row>
    <row r="394" spans="4:5" ht="13">
      <c r="D394" s="46"/>
      <c r="E394" s="46"/>
    </row>
    <row r="395" spans="4:5" ht="13">
      <c r="D395" s="46"/>
      <c r="E395" s="46"/>
    </row>
    <row r="396" spans="4:5" ht="13">
      <c r="D396" s="46"/>
      <c r="E396" s="46"/>
    </row>
    <row r="397" spans="4:5" ht="13">
      <c r="D397" s="46"/>
      <c r="E397" s="46"/>
    </row>
    <row r="398" spans="4:5" ht="13">
      <c r="D398" s="46"/>
      <c r="E398" s="46"/>
    </row>
    <row r="399" spans="4:5" ht="13">
      <c r="D399" s="46"/>
      <c r="E399" s="46"/>
    </row>
    <row r="400" spans="4:5" ht="13">
      <c r="D400" s="46"/>
      <c r="E400" s="46"/>
    </row>
    <row r="401" spans="4:5" ht="13">
      <c r="D401" s="46"/>
      <c r="E401" s="46"/>
    </row>
    <row r="402" spans="4:5" ht="13">
      <c r="D402" s="46"/>
      <c r="E402" s="46"/>
    </row>
    <row r="403" spans="4:5" ht="13">
      <c r="D403" s="46"/>
      <c r="E403" s="46"/>
    </row>
    <row r="404" spans="4:5" ht="13">
      <c r="D404" s="46"/>
      <c r="E404" s="46"/>
    </row>
    <row r="405" spans="4:5" ht="13">
      <c r="D405" s="46"/>
      <c r="E405" s="46"/>
    </row>
    <row r="406" spans="4:5" ht="13">
      <c r="D406" s="46"/>
      <c r="E406" s="46"/>
    </row>
    <row r="407" spans="4:5" ht="13">
      <c r="D407" s="46"/>
      <c r="E407" s="46"/>
    </row>
    <row r="408" spans="4:5" ht="13">
      <c r="D408" s="46"/>
      <c r="E408" s="46"/>
    </row>
    <row r="409" spans="4:5" ht="13">
      <c r="D409" s="46"/>
      <c r="E409" s="46"/>
    </row>
    <row r="410" spans="4:5" ht="13">
      <c r="D410" s="46"/>
      <c r="E410" s="46"/>
    </row>
    <row r="411" spans="4:5" ht="13">
      <c r="D411" s="46"/>
      <c r="E411" s="46"/>
    </row>
    <row r="412" spans="4:5" ht="13">
      <c r="D412" s="46"/>
      <c r="E412" s="46"/>
    </row>
    <row r="413" spans="4:5" ht="13">
      <c r="D413" s="46"/>
      <c r="E413" s="46"/>
    </row>
    <row r="414" spans="4:5" ht="13">
      <c r="D414" s="46"/>
      <c r="E414" s="46"/>
    </row>
    <row r="415" spans="4:5" ht="13">
      <c r="D415" s="46"/>
      <c r="E415" s="46"/>
    </row>
    <row r="416" spans="4:5" ht="13">
      <c r="D416" s="46"/>
      <c r="E416" s="46"/>
    </row>
    <row r="417" spans="4:5" ht="13">
      <c r="D417" s="46"/>
      <c r="E417" s="46"/>
    </row>
    <row r="418" spans="4:5" ht="13">
      <c r="D418" s="46"/>
      <c r="E418" s="46"/>
    </row>
    <row r="419" spans="4:5" ht="13">
      <c r="D419" s="46"/>
      <c r="E419" s="46"/>
    </row>
    <row r="420" spans="4:5" ht="13">
      <c r="D420" s="46"/>
      <c r="E420" s="46"/>
    </row>
    <row r="421" spans="4:5" ht="13">
      <c r="D421" s="46"/>
      <c r="E421" s="46"/>
    </row>
    <row r="422" spans="4:5" ht="13">
      <c r="D422" s="46"/>
      <c r="E422" s="46"/>
    </row>
    <row r="423" spans="4:5" ht="13">
      <c r="D423" s="46"/>
      <c r="E423" s="46"/>
    </row>
    <row r="424" spans="4:5" ht="13">
      <c r="D424" s="46"/>
      <c r="E424" s="46"/>
    </row>
    <row r="425" spans="4:5" ht="13">
      <c r="D425" s="46"/>
      <c r="E425" s="46"/>
    </row>
    <row r="426" spans="4:5" ht="13">
      <c r="D426" s="46"/>
      <c r="E426" s="46"/>
    </row>
    <row r="427" spans="4:5" ht="13">
      <c r="D427" s="46"/>
      <c r="E427" s="46"/>
    </row>
    <row r="428" spans="4:5" ht="13">
      <c r="D428" s="46"/>
      <c r="E428" s="46"/>
    </row>
    <row r="429" spans="4:5" ht="13">
      <c r="D429" s="46"/>
      <c r="E429" s="46"/>
    </row>
    <row r="430" spans="4:5" ht="13">
      <c r="D430" s="46"/>
      <c r="E430" s="46"/>
    </row>
    <row r="431" spans="4:5" ht="13">
      <c r="D431" s="46"/>
      <c r="E431" s="46"/>
    </row>
    <row r="432" spans="4:5" ht="13">
      <c r="D432" s="46"/>
      <c r="E432" s="46"/>
    </row>
    <row r="433" spans="4:5" ht="13">
      <c r="D433" s="46"/>
      <c r="E433" s="46"/>
    </row>
    <row r="434" spans="4:5" ht="13">
      <c r="D434" s="46"/>
      <c r="E434" s="46"/>
    </row>
    <row r="435" spans="4:5" ht="13">
      <c r="D435" s="46"/>
      <c r="E435" s="46"/>
    </row>
    <row r="436" spans="4:5" ht="13">
      <c r="D436" s="46"/>
      <c r="E436" s="46"/>
    </row>
    <row r="437" spans="4:5" ht="13">
      <c r="D437" s="46"/>
      <c r="E437" s="46"/>
    </row>
    <row r="438" spans="4:5" ht="13">
      <c r="D438" s="46"/>
      <c r="E438" s="46"/>
    </row>
    <row r="439" spans="4:5" ht="13">
      <c r="D439" s="46"/>
      <c r="E439" s="46"/>
    </row>
    <row r="440" spans="4:5" ht="13">
      <c r="D440" s="46"/>
      <c r="E440" s="46"/>
    </row>
    <row r="441" spans="4:5" ht="13">
      <c r="D441" s="46"/>
      <c r="E441" s="46"/>
    </row>
    <row r="442" spans="4:5" ht="13">
      <c r="D442" s="46"/>
      <c r="E442" s="46"/>
    </row>
    <row r="443" spans="4:5" ht="13">
      <c r="D443" s="46"/>
      <c r="E443" s="46"/>
    </row>
    <row r="444" spans="4:5" ht="13">
      <c r="D444" s="46"/>
      <c r="E444" s="46"/>
    </row>
    <row r="445" spans="4:5" ht="13">
      <c r="D445" s="46"/>
      <c r="E445" s="46"/>
    </row>
    <row r="446" spans="4:5" ht="13">
      <c r="D446" s="46"/>
      <c r="E446" s="46"/>
    </row>
    <row r="447" spans="4:5" ht="13">
      <c r="D447" s="46"/>
      <c r="E447" s="46"/>
    </row>
    <row r="448" spans="4:5" ht="13">
      <c r="D448" s="46"/>
      <c r="E448" s="46"/>
    </row>
    <row r="449" spans="4:5" ht="13">
      <c r="D449" s="46"/>
      <c r="E449" s="46"/>
    </row>
    <row r="450" spans="4:5" ht="13">
      <c r="D450" s="46"/>
      <c r="E450" s="46"/>
    </row>
    <row r="451" spans="4:5" ht="13">
      <c r="D451" s="46"/>
      <c r="E451" s="46"/>
    </row>
    <row r="452" spans="4:5" ht="13">
      <c r="D452" s="46"/>
      <c r="E452" s="46"/>
    </row>
    <row r="453" spans="4:5" ht="13">
      <c r="D453" s="46"/>
      <c r="E453" s="46"/>
    </row>
    <row r="454" spans="4:5" ht="13">
      <c r="D454" s="46"/>
      <c r="E454" s="46"/>
    </row>
    <row r="455" spans="4:5" ht="13">
      <c r="D455" s="46"/>
      <c r="E455" s="46"/>
    </row>
    <row r="456" spans="4:5" ht="13">
      <c r="D456" s="46"/>
      <c r="E456" s="46"/>
    </row>
    <row r="457" spans="4:5" ht="13">
      <c r="D457" s="46"/>
      <c r="E457" s="46"/>
    </row>
    <row r="458" spans="4:5" ht="13">
      <c r="D458" s="46"/>
      <c r="E458" s="46"/>
    </row>
    <row r="459" spans="4:5" ht="13">
      <c r="D459" s="46"/>
      <c r="E459" s="46"/>
    </row>
    <row r="460" spans="4:5" ht="13">
      <c r="D460" s="46"/>
      <c r="E460" s="46"/>
    </row>
    <row r="461" spans="4:5" ht="13">
      <c r="D461" s="46"/>
      <c r="E461" s="46"/>
    </row>
    <row r="462" spans="4:5" ht="13">
      <c r="D462" s="46"/>
      <c r="E462" s="46"/>
    </row>
    <row r="463" spans="4:5" ht="13">
      <c r="D463" s="46"/>
      <c r="E463" s="46"/>
    </row>
    <row r="464" spans="4:5" ht="13">
      <c r="D464" s="46"/>
      <c r="E464" s="46"/>
    </row>
    <row r="465" spans="4:5" ht="13">
      <c r="D465" s="46"/>
      <c r="E465" s="46"/>
    </row>
    <row r="466" spans="4:5" ht="13">
      <c r="D466" s="46"/>
      <c r="E466" s="46"/>
    </row>
    <row r="467" spans="4:5" ht="13">
      <c r="D467" s="46"/>
      <c r="E467" s="46"/>
    </row>
    <row r="468" spans="4:5" ht="13">
      <c r="D468" s="46"/>
      <c r="E468" s="46"/>
    </row>
    <row r="469" spans="4:5" ht="13">
      <c r="D469" s="46"/>
      <c r="E469" s="46"/>
    </row>
    <row r="470" spans="4:5" ht="13">
      <c r="D470" s="46"/>
      <c r="E470" s="46"/>
    </row>
    <row r="471" spans="4:5" ht="13">
      <c r="D471" s="46"/>
      <c r="E471" s="46"/>
    </row>
    <row r="472" spans="4:5" ht="13">
      <c r="D472" s="46"/>
      <c r="E472" s="46"/>
    </row>
    <row r="473" spans="4:5" ht="13">
      <c r="D473" s="46"/>
      <c r="E473" s="46"/>
    </row>
    <row r="474" spans="4:5" ht="13">
      <c r="D474" s="46"/>
      <c r="E474" s="46"/>
    </row>
    <row r="475" spans="4:5" ht="13">
      <c r="D475" s="46"/>
      <c r="E475" s="46"/>
    </row>
    <row r="476" spans="4:5" ht="13">
      <c r="D476" s="46"/>
      <c r="E476" s="46"/>
    </row>
    <row r="477" spans="4:5" ht="13">
      <c r="D477" s="46"/>
      <c r="E477" s="46"/>
    </row>
    <row r="478" spans="4:5" ht="13">
      <c r="D478" s="46"/>
      <c r="E478" s="46"/>
    </row>
    <row r="479" spans="4:5" ht="13">
      <c r="D479" s="46"/>
      <c r="E479" s="46"/>
    </row>
    <row r="480" spans="4:5" ht="13">
      <c r="D480" s="46"/>
      <c r="E480" s="46"/>
    </row>
    <row r="481" spans="4:5" ht="13">
      <c r="D481" s="46"/>
      <c r="E481" s="46"/>
    </row>
    <row r="482" spans="4:5" ht="13">
      <c r="D482" s="46"/>
      <c r="E482" s="46"/>
    </row>
    <row r="483" spans="4:5" ht="13">
      <c r="D483" s="46"/>
      <c r="E483" s="46"/>
    </row>
    <row r="484" spans="4:5" ht="13">
      <c r="D484" s="46"/>
      <c r="E484" s="46"/>
    </row>
    <row r="485" spans="4:5" ht="13">
      <c r="D485" s="46"/>
      <c r="E485" s="46"/>
    </row>
    <row r="486" spans="4:5" ht="13">
      <c r="D486" s="46"/>
      <c r="E486" s="46"/>
    </row>
    <row r="487" spans="4:5" ht="13">
      <c r="D487" s="46"/>
      <c r="E487" s="46"/>
    </row>
    <row r="488" spans="4:5" ht="13">
      <c r="D488" s="46"/>
      <c r="E488" s="46"/>
    </row>
    <row r="489" spans="4:5" ht="13">
      <c r="D489" s="46"/>
      <c r="E489" s="46"/>
    </row>
    <row r="490" spans="4:5" ht="13">
      <c r="D490" s="46"/>
      <c r="E490" s="46"/>
    </row>
    <row r="491" spans="4:5" ht="13">
      <c r="D491" s="46"/>
      <c r="E491" s="46"/>
    </row>
    <row r="492" spans="4:5" ht="13">
      <c r="D492" s="46"/>
      <c r="E492" s="46"/>
    </row>
    <row r="493" spans="4:5" ht="13">
      <c r="D493" s="46"/>
      <c r="E493" s="46"/>
    </row>
    <row r="494" spans="4:5" ht="13">
      <c r="D494" s="46"/>
      <c r="E494" s="46"/>
    </row>
    <row r="495" spans="4:5" ht="13">
      <c r="D495" s="46"/>
      <c r="E495" s="46"/>
    </row>
    <row r="496" spans="4:5" ht="13">
      <c r="D496" s="46"/>
      <c r="E496" s="46"/>
    </row>
    <row r="497" spans="4:5" ht="13">
      <c r="D497" s="46"/>
      <c r="E497" s="46"/>
    </row>
    <row r="498" spans="4:5" ht="13">
      <c r="D498" s="46"/>
      <c r="E498" s="46"/>
    </row>
    <row r="499" spans="4:5" ht="13">
      <c r="D499" s="46"/>
      <c r="E499" s="46"/>
    </row>
    <row r="500" spans="4:5" ht="13">
      <c r="D500" s="46"/>
      <c r="E500" s="46"/>
    </row>
    <row r="501" spans="4:5" ht="13">
      <c r="D501" s="46"/>
      <c r="E501" s="46"/>
    </row>
    <row r="502" spans="4:5" ht="13">
      <c r="D502" s="46"/>
      <c r="E502" s="46"/>
    </row>
    <row r="503" spans="4:5" ht="13">
      <c r="D503" s="46"/>
      <c r="E503" s="46"/>
    </row>
    <row r="504" spans="4:5" ht="13">
      <c r="D504" s="46"/>
      <c r="E504" s="46"/>
    </row>
    <row r="505" spans="4:5" ht="13">
      <c r="D505" s="46"/>
      <c r="E505" s="46"/>
    </row>
    <row r="506" spans="4:5" ht="13">
      <c r="D506" s="46"/>
      <c r="E506" s="46"/>
    </row>
    <row r="507" spans="4:5" ht="13">
      <c r="D507" s="46"/>
      <c r="E507" s="46"/>
    </row>
    <row r="508" spans="4:5" ht="13">
      <c r="D508" s="46"/>
      <c r="E508" s="46"/>
    </row>
    <row r="509" spans="4:5" ht="13">
      <c r="D509" s="46"/>
      <c r="E509" s="46"/>
    </row>
    <row r="510" spans="4:5" ht="13">
      <c r="D510" s="46"/>
      <c r="E510" s="46"/>
    </row>
    <row r="511" spans="4:5" ht="13">
      <c r="D511" s="46"/>
      <c r="E511" s="46"/>
    </row>
    <row r="512" spans="4:5" ht="13">
      <c r="D512" s="46"/>
      <c r="E512" s="46"/>
    </row>
    <row r="513" spans="4:5" ht="13">
      <c r="D513" s="46"/>
      <c r="E513" s="46"/>
    </row>
    <row r="514" spans="4:5" ht="13">
      <c r="D514" s="46"/>
      <c r="E514" s="46"/>
    </row>
    <row r="515" spans="4:5" ht="13">
      <c r="D515" s="46"/>
      <c r="E515" s="46"/>
    </row>
    <row r="516" spans="4:5" ht="13">
      <c r="D516" s="46"/>
      <c r="E516" s="46"/>
    </row>
    <row r="517" spans="4:5" ht="13">
      <c r="D517" s="46"/>
      <c r="E517" s="46"/>
    </row>
    <row r="518" spans="4:5" ht="13">
      <c r="D518" s="46"/>
      <c r="E518" s="46"/>
    </row>
    <row r="519" spans="4:5" ht="13">
      <c r="D519" s="46"/>
      <c r="E519" s="46"/>
    </row>
    <row r="520" spans="4:5" ht="13">
      <c r="D520" s="46"/>
      <c r="E520" s="46"/>
    </row>
    <row r="521" spans="4:5" ht="13">
      <c r="D521" s="46"/>
      <c r="E521" s="46"/>
    </row>
    <row r="522" spans="4:5" ht="13">
      <c r="D522" s="46"/>
      <c r="E522" s="46"/>
    </row>
    <row r="523" spans="4:5" ht="13">
      <c r="D523" s="46"/>
      <c r="E523" s="46"/>
    </row>
    <row r="524" spans="4:5" ht="13">
      <c r="D524" s="46"/>
      <c r="E524" s="46"/>
    </row>
    <row r="525" spans="4:5" ht="13">
      <c r="D525" s="46"/>
      <c r="E525" s="46"/>
    </row>
    <row r="526" spans="4:5" ht="13">
      <c r="D526" s="46"/>
      <c r="E526" s="46"/>
    </row>
    <row r="527" spans="4:5" ht="13">
      <c r="D527" s="46"/>
      <c r="E527" s="46"/>
    </row>
    <row r="528" spans="4:5" ht="13">
      <c r="D528" s="46"/>
      <c r="E528" s="46"/>
    </row>
    <row r="529" spans="4:5" ht="13">
      <c r="D529" s="46"/>
      <c r="E529" s="46"/>
    </row>
    <row r="530" spans="4:5" ht="13">
      <c r="D530" s="46"/>
      <c r="E530" s="46"/>
    </row>
    <row r="531" spans="4:5" ht="13">
      <c r="D531" s="46"/>
      <c r="E531" s="46"/>
    </row>
    <row r="532" spans="4:5" ht="13">
      <c r="D532" s="46"/>
      <c r="E532" s="46"/>
    </row>
    <row r="533" spans="4:5" ht="13">
      <c r="D533" s="46"/>
      <c r="E533" s="46"/>
    </row>
    <row r="534" spans="4:5" ht="13">
      <c r="D534" s="46"/>
      <c r="E534" s="46"/>
    </row>
    <row r="535" spans="4:5" ht="13">
      <c r="D535" s="46"/>
      <c r="E535" s="46"/>
    </row>
    <row r="536" spans="4:5" ht="13">
      <c r="D536" s="46"/>
      <c r="E536" s="46"/>
    </row>
    <row r="537" spans="4:5" ht="13">
      <c r="D537" s="46"/>
      <c r="E537" s="46"/>
    </row>
    <row r="538" spans="4:5" ht="13">
      <c r="D538" s="46"/>
      <c r="E538" s="46"/>
    </row>
    <row r="539" spans="4:5" ht="13">
      <c r="D539" s="46"/>
      <c r="E539" s="46"/>
    </row>
    <row r="540" spans="4:5" ht="13">
      <c r="D540" s="46"/>
      <c r="E540" s="46"/>
    </row>
    <row r="541" spans="4:5" ht="13">
      <c r="D541" s="46"/>
      <c r="E541" s="46"/>
    </row>
    <row r="542" spans="4:5" ht="13">
      <c r="D542" s="46"/>
      <c r="E542" s="46"/>
    </row>
    <row r="543" spans="4:5" ht="13">
      <c r="D543" s="46"/>
      <c r="E543" s="46"/>
    </row>
    <row r="544" spans="4:5" ht="13">
      <c r="D544" s="46"/>
      <c r="E544" s="46"/>
    </row>
    <row r="545" spans="4:5" ht="13">
      <c r="D545" s="46"/>
      <c r="E545" s="46"/>
    </row>
    <row r="546" spans="4:5" ht="13">
      <c r="D546" s="46"/>
      <c r="E546" s="46"/>
    </row>
    <row r="547" spans="4:5" ht="13">
      <c r="D547" s="46"/>
      <c r="E547" s="46"/>
    </row>
    <row r="548" spans="4:5" ht="13">
      <c r="D548" s="46"/>
      <c r="E548" s="46"/>
    </row>
    <row r="549" spans="4:5" ht="13">
      <c r="D549" s="46"/>
      <c r="E549" s="46"/>
    </row>
    <row r="550" spans="4:5" ht="13">
      <c r="D550" s="46"/>
      <c r="E550" s="46"/>
    </row>
    <row r="551" spans="4:5" ht="13">
      <c r="D551" s="46"/>
      <c r="E551" s="46"/>
    </row>
    <row r="552" spans="4:5" ht="13">
      <c r="D552" s="46"/>
      <c r="E552" s="46"/>
    </row>
    <row r="553" spans="4:5" ht="13">
      <c r="D553" s="46"/>
      <c r="E553" s="46"/>
    </row>
    <row r="554" spans="4:5" ht="13">
      <c r="D554" s="46"/>
      <c r="E554" s="46"/>
    </row>
    <row r="555" spans="4:5" ht="13">
      <c r="D555" s="46"/>
      <c r="E555" s="46"/>
    </row>
    <row r="556" spans="4:5" ht="13">
      <c r="D556" s="46"/>
      <c r="E556" s="46"/>
    </row>
    <row r="557" spans="4:5" ht="13">
      <c r="D557" s="46"/>
      <c r="E557" s="46"/>
    </row>
    <row r="558" spans="4:5" ht="13">
      <c r="D558" s="46"/>
      <c r="E558" s="46"/>
    </row>
    <row r="559" spans="4:5" ht="13">
      <c r="D559" s="46"/>
      <c r="E559" s="46"/>
    </row>
    <row r="560" spans="4:5" ht="13">
      <c r="D560" s="46"/>
      <c r="E560" s="46"/>
    </row>
    <row r="561" spans="4:5" ht="13">
      <c r="D561" s="46"/>
      <c r="E561" s="46"/>
    </row>
    <row r="562" spans="4:5" ht="13">
      <c r="D562" s="46"/>
      <c r="E562" s="46"/>
    </row>
    <row r="563" spans="4:5" ht="13">
      <c r="D563" s="46"/>
      <c r="E563" s="46"/>
    </row>
    <row r="564" spans="4:5" ht="13">
      <c r="D564" s="46"/>
      <c r="E564" s="46"/>
    </row>
    <row r="565" spans="4:5" ht="13">
      <c r="D565" s="46"/>
      <c r="E565" s="46"/>
    </row>
    <row r="566" spans="4:5" ht="13">
      <c r="D566" s="46"/>
      <c r="E566" s="46"/>
    </row>
    <row r="567" spans="4:5" ht="13">
      <c r="D567" s="46"/>
      <c r="E567" s="46"/>
    </row>
    <row r="568" spans="4:5" ht="13">
      <c r="D568" s="46"/>
      <c r="E568" s="46"/>
    </row>
    <row r="569" spans="4:5" ht="13">
      <c r="D569" s="46"/>
      <c r="E569" s="46"/>
    </row>
    <row r="570" spans="4:5" ht="13">
      <c r="D570" s="46"/>
      <c r="E570" s="46"/>
    </row>
    <row r="571" spans="4:5" ht="13">
      <c r="D571" s="46"/>
      <c r="E571" s="46"/>
    </row>
    <row r="572" spans="4:5" ht="13">
      <c r="D572" s="46"/>
      <c r="E572" s="46"/>
    </row>
    <row r="573" spans="4:5" ht="13">
      <c r="D573" s="46"/>
      <c r="E573" s="46"/>
    </row>
    <row r="574" spans="4:5" ht="13">
      <c r="D574" s="46"/>
      <c r="E574" s="46"/>
    </row>
    <row r="575" spans="4:5" ht="13">
      <c r="D575" s="46"/>
      <c r="E575" s="46"/>
    </row>
    <row r="576" spans="4:5" ht="13">
      <c r="D576" s="46"/>
      <c r="E576" s="46"/>
    </row>
    <row r="577" spans="4:5" ht="13">
      <c r="D577" s="46"/>
      <c r="E577" s="46"/>
    </row>
    <row r="578" spans="4:5" ht="13">
      <c r="D578" s="46"/>
      <c r="E578" s="46"/>
    </row>
    <row r="579" spans="4:5" ht="13">
      <c r="D579" s="46"/>
      <c r="E579" s="46"/>
    </row>
    <row r="580" spans="4:5" ht="13">
      <c r="D580" s="46"/>
      <c r="E580" s="46"/>
    </row>
    <row r="581" spans="4:5" ht="13">
      <c r="D581" s="46"/>
      <c r="E581" s="46"/>
    </row>
    <row r="582" spans="4:5" ht="13">
      <c r="D582" s="46"/>
      <c r="E582" s="46"/>
    </row>
    <row r="583" spans="4:5" ht="13">
      <c r="D583" s="46"/>
      <c r="E583" s="46"/>
    </row>
    <row r="584" spans="4:5" ht="13">
      <c r="D584" s="46"/>
      <c r="E584" s="46"/>
    </row>
    <row r="585" spans="4:5" ht="13">
      <c r="D585" s="46"/>
      <c r="E585" s="46"/>
    </row>
    <row r="586" spans="4:5" ht="13">
      <c r="D586" s="46"/>
      <c r="E586" s="46"/>
    </row>
    <row r="587" spans="4:5" ht="13">
      <c r="D587" s="46"/>
      <c r="E587" s="46"/>
    </row>
    <row r="588" spans="4:5" ht="13">
      <c r="D588" s="46"/>
      <c r="E588" s="46"/>
    </row>
    <row r="589" spans="4:5" ht="13">
      <c r="D589" s="46"/>
      <c r="E589" s="46"/>
    </row>
    <row r="590" spans="4:5" ht="13">
      <c r="D590" s="46"/>
      <c r="E590" s="46"/>
    </row>
    <row r="591" spans="4:5" ht="13">
      <c r="D591" s="46"/>
      <c r="E591" s="46"/>
    </row>
    <row r="592" spans="4:5" ht="13">
      <c r="D592" s="46"/>
      <c r="E592" s="46"/>
    </row>
    <row r="593" spans="4:5" ht="13">
      <c r="D593" s="46"/>
      <c r="E593" s="46"/>
    </row>
    <row r="594" spans="4:5" ht="13">
      <c r="D594" s="46"/>
      <c r="E594" s="46"/>
    </row>
    <row r="595" spans="4:5" ht="13">
      <c r="D595" s="46"/>
      <c r="E595" s="46"/>
    </row>
    <row r="596" spans="4:5" ht="13">
      <c r="D596" s="46"/>
      <c r="E596" s="46"/>
    </row>
    <row r="597" spans="4:5" ht="13">
      <c r="D597" s="46"/>
      <c r="E597" s="46"/>
    </row>
    <row r="598" spans="4:5" ht="13">
      <c r="D598" s="46"/>
      <c r="E598" s="46"/>
    </row>
    <row r="599" spans="4:5" ht="13">
      <c r="D599" s="46"/>
      <c r="E599" s="46"/>
    </row>
    <row r="600" spans="4:5" ht="13">
      <c r="D600" s="46"/>
      <c r="E600" s="46"/>
    </row>
    <row r="601" spans="4:5" ht="13">
      <c r="D601" s="46"/>
      <c r="E601" s="46"/>
    </row>
    <row r="602" spans="4:5" ht="13">
      <c r="D602" s="46"/>
      <c r="E602" s="46"/>
    </row>
    <row r="603" spans="4:5" ht="13">
      <c r="D603" s="46"/>
      <c r="E603" s="46"/>
    </row>
    <row r="604" spans="4:5" ht="13">
      <c r="D604" s="46"/>
      <c r="E604" s="46"/>
    </row>
    <row r="605" spans="4:5" ht="13">
      <c r="D605" s="46"/>
      <c r="E605" s="46"/>
    </row>
    <row r="606" spans="4:5" ht="13">
      <c r="D606" s="46"/>
      <c r="E606" s="46"/>
    </row>
    <row r="607" spans="4:5" ht="13">
      <c r="D607" s="46"/>
      <c r="E607" s="46"/>
    </row>
    <row r="608" spans="4:5" ht="13">
      <c r="D608" s="46"/>
      <c r="E608" s="46"/>
    </row>
    <row r="609" spans="4:5" ht="13">
      <c r="D609" s="46"/>
      <c r="E609" s="46"/>
    </row>
    <row r="610" spans="4:5" ht="13">
      <c r="D610" s="46"/>
      <c r="E610" s="46"/>
    </row>
    <row r="611" spans="4:5" ht="13">
      <c r="D611" s="46"/>
      <c r="E611" s="46"/>
    </row>
    <row r="612" spans="4:5" ht="13">
      <c r="D612" s="46"/>
      <c r="E612" s="46"/>
    </row>
    <row r="613" spans="4:5" ht="13">
      <c r="D613" s="46"/>
      <c r="E613" s="46"/>
    </row>
    <row r="614" spans="4:5" ht="13">
      <c r="D614" s="46"/>
      <c r="E614" s="46"/>
    </row>
    <row r="615" spans="4:5" ht="13">
      <c r="D615" s="46"/>
      <c r="E615" s="46"/>
    </row>
    <row r="616" spans="4:5" ht="13">
      <c r="D616" s="46"/>
      <c r="E616" s="46"/>
    </row>
    <row r="617" spans="4:5" ht="13">
      <c r="D617" s="46"/>
      <c r="E617" s="46"/>
    </row>
    <row r="618" spans="4:5" ht="13">
      <c r="D618" s="46"/>
      <c r="E618" s="46"/>
    </row>
    <row r="619" spans="4:5" ht="13">
      <c r="D619" s="46"/>
      <c r="E619" s="46"/>
    </row>
    <row r="620" spans="4:5" ht="13">
      <c r="D620" s="46"/>
      <c r="E620" s="46"/>
    </row>
    <row r="621" spans="4:5" ht="13">
      <c r="D621" s="46"/>
      <c r="E621" s="46"/>
    </row>
    <row r="622" spans="4:5" ht="13">
      <c r="D622" s="46"/>
      <c r="E622" s="46"/>
    </row>
    <row r="623" spans="4:5" ht="13">
      <c r="D623" s="46"/>
      <c r="E623" s="46"/>
    </row>
    <row r="624" spans="4:5" ht="13">
      <c r="D624" s="46"/>
      <c r="E624" s="46"/>
    </row>
    <row r="625" spans="4:5" ht="13">
      <c r="D625" s="46"/>
      <c r="E625" s="46"/>
    </row>
    <row r="626" spans="4:5" ht="13">
      <c r="D626" s="46"/>
      <c r="E626" s="46"/>
    </row>
    <row r="627" spans="4:5" ht="13">
      <c r="D627" s="46"/>
      <c r="E627" s="46"/>
    </row>
    <row r="628" spans="4:5" ht="13">
      <c r="D628" s="46"/>
      <c r="E628" s="46"/>
    </row>
    <row r="629" spans="4:5" ht="13">
      <c r="D629" s="46"/>
      <c r="E629" s="46"/>
    </row>
    <row r="630" spans="4:5" ht="13">
      <c r="D630" s="46"/>
      <c r="E630" s="46"/>
    </row>
    <row r="631" spans="4:5" ht="13">
      <c r="D631" s="46"/>
      <c r="E631" s="46"/>
    </row>
    <row r="632" spans="4:5" ht="13">
      <c r="D632" s="46"/>
      <c r="E632" s="46"/>
    </row>
    <row r="633" spans="4:5" ht="13">
      <c r="D633" s="46"/>
      <c r="E633" s="46"/>
    </row>
    <row r="634" spans="4:5" ht="13">
      <c r="D634" s="46"/>
      <c r="E634" s="46"/>
    </row>
    <row r="635" spans="4:5" ht="13">
      <c r="D635" s="46"/>
      <c r="E635" s="46"/>
    </row>
    <row r="636" spans="4:5" ht="13">
      <c r="D636" s="46"/>
      <c r="E636" s="46"/>
    </row>
    <row r="637" spans="4:5" ht="13">
      <c r="D637" s="46"/>
      <c r="E637" s="46"/>
    </row>
    <row r="638" spans="4:5" ht="13">
      <c r="D638" s="46"/>
      <c r="E638" s="46"/>
    </row>
    <row r="639" spans="4:5" ht="13">
      <c r="D639" s="46"/>
      <c r="E639" s="46"/>
    </row>
    <row r="640" spans="4:5" ht="13">
      <c r="D640" s="46"/>
      <c r="E640" s="46"/>
    </row>
    <row r="641" spans="4:5" ht="13">
      <c r="D641" s="46"/>
      <c r="E641" s="46"/>
    </row>
    <row r="642" spans="4:5" ht="13">
      <c r="D642" s="46"/>
      <c r="E642" s="46"/>
    </row>
    <row r="643" spans="4:5" ht="13">
      <c r="D643" s="46"/>
      <c r="E643" s="46"/>
    </row>
    <row r="644" spans="4:5" ht="13">
      <c r="D644" s="46"/>
      <c r="E644" s="46"/>
    </row>
    <row r="645" spans="4:5" ht="13">
      <c r="D645" s="46"/>
      <c r="E645" s="46"/>
    </row>
    <row r="646" spans="4:5" ht="13">
      <c r="D646" s="46"/>
      <c r="E646" s="46"/>
    </row>
    <row r="647" spans="4:5" ht="13">
      <c r="D647" s="46"/>
      <c r="E647" s="46"/>
    </row>
    <row r="648" spans="4:5" ht="13">
      <c r="D648" s="46"/>
      <c r="E648" s="46"/>
    </row>
    <row r="649" spans="4:5" ht="13">
      <c r="D649" s="46"/>
      <c r="E649" s="46"/>
    </row>
    <row r="650" spans="4:5" ht="13">
      <c r="D650" s="46"/>
      <c r="E650" s="46"/>
    </row>
    <row r="651" spans="4:5" ht="13">
      <c r="D651" s="46"/>
      <c r="E651" s="46"/>
    </row>
    <row r="652" spans="4:5" ht="13">
      <c r="D652" s="46"/>
      <c r="E652" s="46"/>
    </row>
    <row r="653" spans="4:5" ht="13">
      <c r="D653" s="46"/>
      <c r="E653" s="46"/>
    </row>
    <row r="654" spans="4:5" ht="13">
      <c r="D654" s="46"/>
      <c r="E654" s="46"/>
    </row>
    <row r="655" spans="4:5" ht="13">
      <c r="D655" s="46"/>
      <c r="E655" s="46"/>
    </row>
    <row r="656" spans="4:5" ht="13">
      <c r="D656" s="46"/>
      <c r="E656" s="46"/>
    </row>
    <row r="657" spans="4:5" ht="13">
      <c r="D657" s="46"/>
      <c r="E657" s="46"/>
    </row>
    <row r="658" spans="4:5" ht="13">
      <c r="D658" s="46"/>
      <c r="E658" s="46"/>
    </row>
    <row r="659" spans="4:5" ht="13">
      <c r="D659" s="46"/>
      <c r="E659" s="46"/>
    </row>
    <row r="660" spans="4:5" ht="13">
      <c r="D660" s="46"/>
      <c r="E660" s="46"/>
    </row>
    <row r="661" spans="4:5" ht="13">
      <c r="D661" s="46"/>
      <c r="E661" s="46"/>
    </row>
    <row r="662" spans="4:5" ht="13">
      <c r="D662" s="46"/>
      <c r="E662" s="46"/>
    </row>
    <row r="663" spans="4:5" ht="13">
      <c r="D663" s="46"/>
      <c r="E663" s="46"/>
    </row>
    <row r="664" spans="4:5" ht="13">
      <c r="D664" s="46"/>
      <c r="E664" s="46"/>
    </row>
    <row r="665" spans="4:5" ht="13">
      <c r="D665" s="46"/>
      <c r="E665" s="46"/>
    </row>
    <row r="666" spans="4:5" ht="13">
      <c r="D666" s="46"/>
      <c r="E666" s="46"/>
    </row>
    <row r="667" spans="4:5" ht="13">
      <c r="D667" s="46"/>
      <c r="E667" s="46"/>
    </row>
    <row r="668" spans="4:5" ht="13">
      <c r="D668" s="46"/>
      <c r="E668" s="46"/>
    </row>
    <row r="669" spans="4:5" ht="13">
      <c r="D669" s="46"/>
      <c r="E669" s="46"/>
    </row>
    <row r="670" spans="4:5" ht="13">
      <c r="D670" s="46"/>
      <c r="E670" s="46"/>
    </row>
    <row r="671" spans="4:5" ht="13">
      <c r="D671" s="46"/>
      <c r="E671" s="46"/>
    </row>
    <row r="672" spans="4:5" ht="13">
      <c r="D672" s="46"/>
      <c r="E672" s="46"/>
    </row>
    <row r="673" spans="4:5" ht="13">
      <c r="D673" s="46"/>
      <c r="E673" s="46"/>
    </row>
    <row r="674" spans="4:5" ht="13">
      <c r="D674" s="46"/>
      <c r="E674" s="46"/>
    </row>
    <row r="675" spans="4:5" ht="13">
      <c r="D675" s="46"/>
      <c r="E675" s="46"/>
    </row>
    <row r="676" spans="4:5" ht="13">
      <c r="D676" s="46"/>
      <c r="E676" s="46"/>
    </row>
    <row r="677" spans="4:5" ht="13">
      <c r="D677" s="46"/>
      <c r="E677" s="46"/>
    </row>
    <row r="678" spans="4:5" ht="13">
      <c r="D678" s="46"/>
      <c r="E678" s="46"/>
    </row>
    <row r="679" spans="4:5" ht="13">
      <c r="D679" s="46"/>
      <c r="E679" s="46"/>
    </row>
    <row r="680" spans="4:5" ht="13">
      <c r="D680" s="46"/>
      <c r="E680" s="46"/>
    </row>
    <row r="681" spans="4:5" ht="13">
      <c r="D681" s="46"/>
      <c r="E681" s="46"/>
    </row>
    <row r="682" spans="4:5" ht="13">
      <c r="D682" s="46"/>
      <c r="E682" s="46"/>
    </row>
    <row r="683" spans="4:5" ht="13">
      <c r="D683" s="46"/>
      <c r="E683" s="46"/>
    </row>
    <row r="684" spans="4:5" ht="13">
      <c r="D684" s="46"/>
      <c r="E684" s="46"/>
    </row>
    <row r="685" spans="4:5" ht="13">
      <c r="D685" s="46"/>
      <c r="E685" s="46"/>
    </row>
    <row r="686" spans="4:5" ht="13">
      <c r="D686" s="46"/>
      <c r="E686" s="46"/>
    </row>
    <row r="687" spans="4:5" ht="13">
      <c r="D687" s="46"/>
      <c r="E687" s="46"/>
    </row>
    <row r="688" spans="4:5" ht="13">
      <c r="D688" s="46"/>
      <c r="E688" s="46"/>
    </row>
    <row r="689" spans="4:5" ht="13">
      <c r="D689" s="46"/>
      <c r="E689" s="46"/>
    </row>
    <row r="690" spans="4:5" ht="13">
      <c r="D690" s="46"/>
      <c r="E690" s="46"/>
    </row>
    <row r="691" spans="4:5" ht="13">
      <c r="D691" s="46"/>
      <c r="E691" s="46"/>
    </row>
    <row r="692" spans="4:5" ht="13">
      <c r="D692" s="46"/>
      <c r="E692" s="46"/>
    </row>
    <row r="693" spans="4:5" ht="13">
      <c r="D693" s="46"/>
      <c r="E693" s="46"/>
    </row>
    <row r="694" spans="4:5" ht="13">
      <c r="D694" s="46"/>
      <c r="E694" s="46"/>
    </row>
    <row r="695" spans="4:5" ht="13">
      <c r="D695" s="46"/>
      <c r="E695" s="46"/>
    </row>
    <row r="696" spans="4:5" ht="13">
      <c r="D696" s="46"/>
      <c r="E696" s="46"/>
    </row>
    <row r="697" spans="4:5" ht="13">
      <c r="D697" s="46"/>
      <c r="E697" s="46"/>
    </row>
    <row r="698" spans="4:5" ht="13">
      <c r="D698" s="46"/>
      <c r="E698" s="46"/>
    </row>
    <row r="699" spans="4:5" ht="13">
      <c r="D699" s="46"/>
      <c r="E699" s="46"/>
    </row>
    <row r="700" spans="4:5" ht="13">
      <c r="D700" s="46"/>
      <c r="E700" s="46"/>
    </row>
    <row r="701" spans="4:5" ht="13">
      <c r="D701" s="46"/>
      <c r="E701" s="46"/>
    </row>
    <row r="702" spans="4:5" ht="13">
      <c r="D702" s="46"/>
      <c r="E702" s="46"/>
    </row>
    <row r="703" spans="4:5" ht="13">
      <c r="D703" s="46"/>
      <c r="E703" s="46"/>
    </row>
    <row r="704" spans="4:5" ht="13">
      <c r="D704" s="46"/>
      <c r="E704" s="46"/>
    </row>
    <row r="705" spans="4:5" ht="13">
      <c r="D705" s="46"/>
      <c r="E705" s="46"/>
    </row>
    <row r="706" spans="4:5" ht="13">
      <c r="D706" s="46"/>
      <c r="E706" s="46"/>
    </row>
    <row r="707" spans="4:5" ht="13">
      <c r="D707" s="46"/>
      <c r="E707" s="46"/>
    </row>
    <row r="708" spans="4:5" ht="13">
      <c r="D708" s="46"/>
      <c r="E708" s="46"/>
    </row>
    <row r="709" spans="4:5" ht="13">
      <c r="D709" s="46"/>
      <c r="E709" s="46"/>
    </row>
    <row r="710" spans="4:5" ht="13">
      <c r="D710" s="46"/>
      <c r="E710" s="46"/>
    </row>
    <row r="711" spans="4:5" ht="13">
      <c r="D711" s="46"/>
      <c r="E711" s="46"/>
    </row>
    <row r="712" spans="4:5" ht="13">
      <c r="D712" s="46"/>
      <c r="E712" s="46"/>
    </row>
    <row r="713" spans="4:5" ht="13">
      <c r="D713" s="46"/>
      <c r="E713" s="46"/>
    </row>
    <row r="714" spans="4:5" ht="13">
      <c r="D714" s="46"/>
      <c r="E714" s="46"/>
    </row>
    <row r="715" spans="4:5" ht="13">
      <c r="D715" s="46"/>
      <c r="E715" s="46"/>
    </row>
    <row r="716" spans="4:5" ht="13">
      <c r="D716" s="46"/>
      <c r="E716" s="46"/>
    </row>
    <row r="717" spans="4:5" ht="13">
      <c r="D717" s="46"/>
      <c r="E717" s="46"/>
    </row>
    <row r="718" spans="4:5" ht="13">
      <c r="D718" s="46"/>
      <c r="E718" s="46"/>
    </row>
    <row r="719" spans="4:5" ht="13">
      <c r="D719" s="46"/>
      <c r="E719" s="46"/>
    </row>
    <row r="720" spans="4:5" ht="13">
      <c r="D720" s="46"/>
      <c r="E720" s="46"/>
    </row>
    <row r="721" spans="4:5" ht="13">
      <c r="D721" s="46"/>
      <c r="E721" s="46"/>
    </row>
    <row r="722" spans="4:5" ht="13">
      <c r="D722" s="46"/>
      <c r="E722" s="46"/>
    </row>
    <row r="723" spans="4:5" ht="13">
      <c r="D723" s="46"/>
      <c r="E723" s="46"/>
    </row>
    <row r="724" spans="4:5" ht="13">
      <c r="D724" s="46"/>
      <c r="E724" s="46"/>
    </row>
    <row r="725" spans="4:5" ht="13">
      <c r="D725" s="46"/>
      <c r="E725" s="46"/>
    </row>
    <row r="726" spans="4:5" ht="13">
      <c r="D726" s="46"/>
      <c r="E726" s="46"/>
    </row>
    <row r="727" spans="4:5" ht="13">
      <c r="D727" s="46"/>
      <c r="E727" s="46"/>
    </row>
    <row r="728" spans="4:5" ht="13">
      <c r="D728" s="46"/>
      <c r="E728" s="46"/>
    </row>
    <row r="729" spans="4:5" ht="13">
      <c r="D729" s="46"/>
      <c r="E729" s="46"/>
    </row>
    <row r="730" spans="4:5" ht="13">
      <c r="D730" s="46"/>
      <c r="E730" s="46"/>
    </row>
    <row r="731" spans="4:5" ht="13">
      <c r="D731" s="46"/>
      <c r="E731" s="46"/>
    </row>
    <row r="732" spans="4:5" ht="13">
      <c r="D732" s="46"/>
      <c r="E732" s="46"/>
    </row>
    <row r="733" spans="4:5" ht="13">
      <c r="D733" s="46"/>
      <c r="E733" s="46"/>
    </row>
    <row r="734" spans="4:5" ht="13">
      <c r="D734" s="46"/>
      <c r="E734" s="46"/>
    </row>
    <row r="735" spans="4:5" ht="13">
      <c r="D735" s="46"/>
      <c r="E735" s="46"/>
    </row>
    <row r="736" spans="4:5" ht="13">
      <c r="D736" s="46"/>
      <c r="E736" s="46"/>
    </row>
    <row r="737" spans="4:5" ht="13">
      <c r="D737" s="46"/>
      <c r="E737" s="46"/>
    </row>
    <row r="738" spans="4:5" ht="13">
      <c r="D738" s="46"/>
      <c r="E738" s="46"/>
    </row>
    <row r="739" spans="4:5" ht="13">
      <c r="D739" s="46"/>
      <c r="E739" s="46"/>
    </row>
    <row r="740" spans="4:5" ht="13">
      <c r="D740" s="46"/>
      <c r="E740" s="46"/>
    </row>
    <row r="741" spans="4:5" ht="13">
      <c r="D741" s="46"/>
      <c r="E741" s="46"/>
    </row>
    <row r="742" spans="4:5" ht="13">
      <c r="D742" s="46"/>
      <c r="E742" s="46"/>
    </row>
    <row r="743" spans="4:5" ht="13">
      <c r="D743" s="46"/>
      <c r="E743" s="46"/>
    </row>
    <row r="744" spans="4:5" ht="13">
      <c r="D744" s="46"/>
      <c r="E744" s="46"/>
    </row>
    <row r="745" spans="4:5" ht="13">
      <c r="D745" s="46"/>
      <c r="E745" s="46"/>
    </row>
    <row r="746" spans="4:5" ht="13">
      <c r="D746" s="46"/>
      <c r="E746" s="46"/>
    </row>
    <row r="747" spans="4:5" ht="13">
      <c r="D747" s="46"/>
      <c r="E747" s="46"/>
    </row>
    <row r="748" spans="4:5" ht="13">
      <c r="D748" s="46"/>
      <c r="E748" s="46"/>
    </row>
    <row r="749" spans="4:5" ht="13">
      <c r="D749" s="46"/>
      <c r="E749" s="46"/>
    </row>
    <row r="750" spans="4:5" ht="13">
      <c r="D750" s="46"/>
      <c r="E750" s="46"/>
    </row>
    <row r="751" spans="4:5" ht="13">
      <c r="D751" s="46"/>
      <c r="E751" s="46"/>
    </row>
    <row r="752" spans="4:5" ht="13">
      <c r="D752" s="46"/>
      <c r="E752" s="46"/>
    </row>
    <row r="753" spans="4:5" ht="13">
      <c r="D753" s="46"/>
      <c r="E753" s="46"/>
    </row>
    <row r="754" spans="4:5" ht="13">
      <c r="D754" s="46"/>
      <c r="E754" s="46"/>
    </row>
    <row r="755" spans="4:5" ht="13">
      <c r="D755" s="46"/>
      <c r="E755" s="46"/>
    </row>
    <row r="756" spans="4:5" ht="13">
      <c r="D756" s="46"/>
      <c r="E756" s="46"/>
    </row>
    <row r="757" spans="4:5" ht="13">
      <c r="D757" s="46"/>
      <c r="E757" s="46"/>
    </row>
    <row r="758" spans="4:5" ht="13">
      <c r="D758" s="46"/>
      <c r="E758" s="46"/>
    </row>
    <row r="759" spans="4:5" ht="13">
      <c r="D759" s="46"/>
      <c r="E759" s="46"/>
    </row>
    <row r="760" spans="4:5" ht="13">
      <c r="D760" s="46"/>
      <c r="E760" s="46"/>
    </row>
    <row r="761" spans="4:5" ht="13">
      <c r="D761" s="46"/>
      <c r="E761" s="46"/>
    </row>
    <row r="762" spans="4:5" ht="13">
      <c r="D762" s="46"/>
      <c r="E762" s="46"/>
    </row>
    <row r="763" spans="4:5" ht="13">
      <c r="D763" s="46"/>
      <c r="E763" s="46"/>
    </row>
    <row r="764" spans="4:5" ht="13">
      <c r="D764" s="46"/>
      <c r="E764" s="46"/>
    </row>
    <row r="765" spans="4:5" ht="13">
      <c r="D765" s="46"/>
      <c r="E765" s="46"/>
    </row>
    <row r="766" spans="4:5" ht="13">
      <c r="D766" s="46"/>
      <c r="E766" s="46"/>
    </row>
    <row r="767" spans="4:5" ht="13">
      <c r="D767" s="46"/>
      <c r="E767" s="46"/>
    </row>
    <row r="768" spans="4:5" ht="13">
      <c r="D768" s="46"/>
      <c r="E768" s="46"/>
    </row>
    <row r="769" spans="4:5" ht="13">
      <c r="D769" s="46"/>
      <c r="E769" s="46"/>
    </row>
    <row r="770" spans="4:5" ht="13">
      <c r="D770" s="46"/>
      <c r="E770" s="46"/>
    </row>
    <row r="771" spans="4:5" ht="13">
      <c r="D771" s="46"/>
      <c r="E771" s="46"/>
    </row>
    <row r="772" spans="4:5" ht="13">
      <c r="D772" s="46"/>
      <c r="E772" s="46"/>
    </row>
    <row r="773" spans="4:5" ht="13">
      <c r="D773" s="46"/>
      <c r="E773" s="46"/>
    </row>
    <row r="774" spans="4:5" ht="13">
      <c r="D774" s="46"/>
      <c r="E774" s="46"/>
    </row>
    <row r="775" spans="4:5" ht="13">
      <c r="D775" s="46"/>
      <c r="E775" s="46"/>
    </row>
    <row r="776" spans="4:5" ht="13">
      <c r="D776" s="46"/>
      <c r="E776" s="46"/>
    </row>
    <row r="777" spans="4:5" ht="13">
      <c r="D777" s="46"/>
      <c r="E777" s="46"/>
    </row>
    <row r="778" spans="4:5" ht="13">
      <c r="D778" s="46"/>
      <c r="E778" s="46"/>
    </row>
    <row r="779" spans="4:5" ht="13">
      <c r="D779" s="46"/>
      <c r="E779" s="46"/>
    </row>
    <row r="780" spans="4:5" ht="13">
      <c r="D780" s="46"/>
      <c r="E780" s="46"/>
    </row>
    <row r="781" spans="4:5" ht="13">
      <c r="D781" s="46"/>
      <c r="E781" s="46"/>
    </row>
    <row r="782" spans="4:5" ht="13">
      <c r="D782" s="46"/>
      <c r="E782" s="46"/>
    </row>
    <row r="783" spans="4:5" ht="13">
      <c r="D783" s="46"/>
      <c r="E783" s="46"/>
    </row>
    <row r="784" spans="4:5" ht="13">
      <c r="D784" s="46"/>
      <c r="E784" s="46"/>
    </row>
    <row r="785" spans="4:5" ht="13">
      <c r="D785" s="46"/>
      <c r="E785" s="46"/>
    </row>
    <row r="786" spans="4:5" ht="13">
      <c r="D786" s="46"/>
      <c r="E786" s="46"/>
    </row>
    <row r="787" spans="4:5" ht="13">
      <c r="D787" s="46"/>
      <c r="E787" s="46"/>
    </row>
    <row r="788" spans="4:5" ht="13">
      <c r="D788" s="46"/>
      <c r="E788" s="46"/>
    </row>
    <row r="789" spans="4:5" ht="13">
      <c r="D789" s="46"/>
      <c r="E789" s="46"/>
    </row>
    <row r="790" spans="4:5" ht="13">
      <c r="D790" s="46"/>
      <c r="E790" s="46"/>
    </row>
    <row r="791" spans="4:5" ht="13">
      <c r="D791" s="46"/>
      <c r="E791" s="46"/>
    </row>
    <row r="792" spans="4:5" ht="13">
      <c r="D792" s="46"/>
      <c r="E792" s="46"/>
    </row>
    <row r="793" spans="4:5" ht="13">
      <c r="D793" s="46"/>
      <c r="E793" s="46"/>
    </row>
    <row r="794" spans="4:5" ht="13">
      <c r="D794" s="46"/>
      <c r="E794" s="46"/>
    </row>
    <row r="795" spans="4:5" ht="13">
      <c r="D795" s="46"/>
      <c r="E795" s="46"/>
    </row>
    <row r="796" spans="4:5" ht="13">
      <c r="D796" s="46"/>
      <c r="E796" s="46"/>
    </row>
    <row r="797" spans="4:5" ht="13">
      <c r="D797" s="46"/>
      <c r="E797" s="46"/>
    </row>
    <row r="798" spans="4:5" ht="13">
      <c r="D798" s="46"/>
      <c r="E798" s="46"/>
    </row>
    <row r="799" spans="4:5" ht="13">
      <c r="D799" s="46"/>
      <c r="E799" s="46"/>
    </row>
    <row r="800" spans="4:5" ht="13">
      <c r="D800" s="46"/>
      <c r="E800" s="46"/>
    </row>
    <row r="801" spans="4:5" ht="13">
      <c r="D801" s="46"/>
      <c r="E801" s="46"/>
    </row>
    <row r="802" spans="4:5" ht="13">
      <c r="D802" s="46"/>
      <c r="E802" s="46"/>
    </row>
    <row r="803" spans="4:5" ht="13">
      <c r="D803" s="46"/>
      <c r="E803" s="46"/>
    </row>
    <row r="804" spans="4:5" ht="13">
      <c r="D804" s="46"/>
      <c r="E804" s="46"/>
    </row>
    <row r="805" spans="4:5" ht="13">
      <c r="D805" s="46"/>
      <c r="E805" s="46"/>
    </row>
    <row r="806" spans="4:5" ht="13">
      <c r="D806" s="46"/>
      <c r="E806" s="46"/>
    </row>
    <row r="807" spans="4:5" ht="13">
      <c r="D807" s="46"/>
      <c r="E807" s="46"/>
    </row>
    <row r="808" spans="4:5" ht="13">
      <c r="D808" s="46"/>
      <c r="E808" s="46"/>
    </row>
    <row r="809" spans="4:5" ht="13">
      <c r="D809" s="46"/>
      <c r="E809" s="46"/>
    </row>
    <row r="810" spans="4:5" ht="13">
      <c r="D810" s="46"/>
      <c r="E810" s="46"/>
    </row>
    <row r="811" spans="4:5" ht="13">
      <c r="D811" s="46"/>
      <c r="E811" s="46"/>
    </row>
    <row r="812" spans="4:5" ht="13">
      <c r="D812" s="46"/>
      <c r="E812" s="46"/>
    </row>
    <row r="813" spans="4:5" ht="13">
      <c r="D813" s="46"/>
      <c r="E813" s="46"/>
    </row>
    <row r="814" spans="4:5" ht="13">
      <c r="D814" s="46"/>
      <c r="E814" s="46"/>
    </row>
    <row r="815" spans="4:5" ht="13">
      <c r="D815" s="46"/>
      <c r="E815" s="46"/>
    </row>
    <row r="816" spans="4:5" ht="13">
      <c r="D816" s="46"/>
      <c r="E816" s="46"/>
    </row>
    <row r="817" spans="4:5" ht="13">
      <c r="D817" s="46"/>
      <c r="E817" s="46"/>
    </row>
    <row r="818" spans="4:5" ht="13">
      <c r="D818" s="46"/>
      <c r="E818" s="46"/>
    </row>
    <row r="819" spans="4:5" ht="13">
      <c r="D819" s="46"/>
      <c r="E819" s="46"/>
    </row>
    <row r="820" spans="4:5" ht="13">
      <c r="D820" s="46"/>
      <c r="E820" s="46"/>
    </row>
    <row r="821" spans="4:5" ht="13">
      <c r="D821" s="46"/>
      <c r="E821" s="46"/>
    </row>
    <row r="822" spans="4:5" ht="13">
      <c r="D822" s="46"/>
      <c r="E822" s="46"/>
    </row>
    <row r="823" spans="4:5" ht="13">
      <c r="D823" s="46"/>
      <c r="E823" s="46"/>
    </row>
    <row r="824" spans="4:5" ht="13">
      <c r="D824" s="46"/>
      <c r="E824" s="46"/>
    </row>
    <row r="825" spans="4:5" ht="13">
      <c r="D825" s="46"/>
      <c r="E825" s="46"/>
    </row>
    <row r="826" spans="4:5" ht="13">
      <c r="D826" s="46"/>
      <c r="E826" s="46"/>
    </row>
    <row r="827" spans="4:5" ht="13">
      <c r="D827" s="46"/>
      <c r="E827" s="46"/>
    </row>
    <row r="828" spans="4:5" ht="13">
      <c r="D828" s="46"/>
      <c r="E828" s="46"/>
    </row>
    <row r="829" spans="4:5" ht="13">
      <c r="D829" s="46"/>
      <c r="E829" s="46"/>
    </row>
    <row r="830" spans="4:5" ht="13">
      <c r="D830" s="46"/>
      <c r="E830" s="46"/>
    </row>
    <row r="831" spans="4:5" ht="13">
      <c r="D831" s="46"/>
      <c r="E831" s="46"/>
    </row>
    <row r="832" spans="4:5" ht="13">
      <c r="D832" s="46"/>
      <c r="E832" s="46"/>
    </row>
    <row r="833" spans="4:5" ht="13">
      <c r="D833" s="46"/>
      <c r="E833" s="46"/>
    </row>
    <row r="834" spans="4:5" ht="13">
      <c r="D834" s="46"/>
      <c r="E834" s="46"/>
    </row>
    <row r="835" spans="4:5" ht="13">
      <c r="D835" s="46"/>
      <c r="E835" s="46"/>
    </row>
    <row r="836" spans="4:5" ht="13">
      <c r="D836" s="46"/>
      <c r="E836" s="46"/>
    </row>
    <row r="837" spans="4:5" ht="13">
      <c r="D837" s="46"/>
      <c r="E837" s="46"/>
    </row>
    <row r="838" spans="4:5" ht="13">
      <c r="D838" s="46"/>
      <c r="E838" s="46"/>
    </row>
    <row r="839" spans="4:5" ht="13">
      <c r="D839" s="46"/>
      <c r="E839" s="46"/>
    </row>
    <row r="840" spans="4:5" ht="13">
      <c r="D840" s="46"/>
      <c r="E840" s="46"/>
    </row>
    <row r="841" spans="4:5" ht="13">
      <c r="D841" s="46"/>
      <c r="E841" s="46"/>
    </row>
    <row r="842" spans="4:5" ht="13">
      <c r="D842" s="46"/>
      <c r="E842" s="46"/>
    </row>
    <row r="843" spans="4:5" ht="13">
      <c r="D843" s="46"/>
      <c r="E843" s="46"/>
    </row>
    <row r="844" spans="4:5" ht="13">
      <c r="D844" s="46"/>
      <c r="E844" s="46"/>
    </row>
    <row r="845" spans="4:5" ht="13">
      <c r="D845" s="46"/>
      <c r="E845" s="46"/>
    </row>
    <row r="846" spans="4:5" ht="13">
      <c r="D846" s="46"/>
      <c r="E846" s="46"/>
    </row>
    <row r="847" spans="4:5" ht="13">
      <c r="D847" s="46"/>
      <c r="E847" s="46"/>
    </row>
    <row r="848" spans="4:5" ht="13">
      <c r="D848" s="46"/>
      <c r="E848" s="46"/>
    </row>
    <row r="849" spans="4:5" ht="13">
      <c r="D849" s="46"/>
      <c r="E849" s="46"/>
    </row>
    <row r="850" spans="4:5" ht="13">
      <c r="D850" s="46"/>
      <c r="E850" s="46"/>
    </row>
    <row r="851" spans="4:5" ht="13">
      <c r="D851" s="46"/>
      <c r="E851" s="46"/>
    </row>
    <row r="852" spans="4:5" ht="13">
      <c r="D852" s="46"/>
      <c r="E852" s="46"/>
    </row>
    <row r="853" spans="4:5" ht="13">
      <c r="D853" s="46"/>
      <c r="E853" s="46"/>
    </row>
    <row r="854" spans="4:5" ht="13">
      <c r="D854" s="46"/>
      <c r="E854" s="46"/>
    </row>
    <row r="855" spans="4:5" ht="13">
      <c r="D855" s="46"/>
      <c r="E855" s="46"/>
    </row>
    <row r="856" spans="4:5" ht="13">
      <c r="D856" s="46"/>
      <c r="E856" s="46"/>
    </row>
    <row r="857" spans="4:5" ht="13">
      <c r="D857" s="46"/>
      <c r="E857" s="46"/>
    </row>
    <row r="858" spans="4:5" ht="13">
      <c r="D858" s="46"/>
      <c r="E858" s="46"/>
    </row>
    <row r="859" spans="4:5" ht="13">
      <c r="D859" s="46"/>
      <c r="E859" s="46"/>
    </row>
    <row r="860" spans="4:5" ht="13">
      <c r="D860" s="46"/>
      <c r="E860" s="46"/>
    </row>
    <row r="861" spans="4:5" ht="13">
      <c r="D861" s="46"/>
      <c r="E861" s="46"/>
    </row>
    <row r="862" spans="4:5" ht="13">
      <c r="D862" s="46"/>
      <c r="E862" s="46"/>
    </row>
    <row r="863" spans="4:5" ht="13">
      <c r="D863" s="46"/>
      <c r="E863" s="46"/>
    </row>
    <row r="864" spans="4:5" ht="13">
      <c r="D864" s="46"/>
      <c r="E864" s="46"/>
    </row>
    <row r="865" spans="4:5" ht="13">
      <c r="D865" s="46"/>
      <c r="E865" s="46"/>
    </row>
    <row r="866" spans="4:5" ht="13">
      <c r="D866" s="46"/>
      <c r="E866" s="46"/>
    </row>
    <row r="867" spans="4:5" ht="13">
      <c r="D867" s="46"/>
      <c r="E867" s="46"/>
    </row>
    <row r="868" spans="4:5" ht="13">
      <c r="D868" s="46"/>
      <c r="E868" s="46"/>
    </row>
    <row r="869" spans="4:5" ht="13">
      <c r="D869" s="46"/>
      <c r="E869" s="46"/>
    </row>
    <row r="870" spans="4:5" ht="13">
      <c r="D870" s="46"/>
      <c r="E870" s="46"/>
    </row>
    <row r="871" spans="4:5" ht="13">
      <c r="D871" s="46"/>
      <c r="E871" s="46"/>
    </row>
    <row r="872" spans="4:5" ht="13">
      <c r="D872" s="46"/>
      <c r="E872" s="46"/>
    </row>
    <row r="873" spans="4:5" ht="13">
      <c r="D873" s="46"/>
      <c r="E873" s="46"/>
    </row>
    <row r="874" spans="4:5" ht="13">
      <c r="D874" s="46"/>
      <c r="E874" s="46"/>
    </row>
    <row r="875" spans="4:5" ht="13">
      <c r="D875" s="46"/>
      <c r="E875" s="46"/>
    </row>
    <row r="876" spans="4:5" ht="13">
      <c r="D876" s="46"/>
      <c r="E876" s="46"/>
    </row>
    <row r="877" spans="4:5" ht="13">
      <c r="D877" s="46"/>
      <c r="E877" s="46"/>
    </row>
    <row r="878" spans="4:5" ht="13">
      <c r="D878" s="46"/>
      <c r="E878" s="46"/>
    </row>
    <row r="879" spans="4:5" ht="13">
      <c r="D879" s="46"/>
      <c r="E879" s="46"/>
    </row>
    <row r="880" spans="4:5" ht="13">
      <c r="D880" s="46"/>
      <c r="E880" s="46"/>
    </row>
    <row r="881" spans="4:5" ht="13">
      <c r="D881" s="46"/>
      <c r="E881" s="46"/>
    </row>
    <row r="882" spans="4:5" ht="13">
      <c r="D882" s="46"/>
      <c r="E882" s="46"/>
    </row>
    <row r="883" spans="4:5" ht="13">
      <c r="D883" s="46"/>
      <c r="E883" s="46"/>
    </row>
    <row r="884" spans="4:5" ht="13">
      <c r="D884" s="46"/>
      <c r="E884" s="46"/>
    </row>
    <row r="885" spans="4:5" ht="13">
      <c r="D885" s="46"/>
      <c r="E885" s="46"/>
    </row>
    <row r="886" spans="4:5" ht="13">
      <c r="D886" s="46"/>
      <c r="E886" s="46"/>
    </row>
    <row r="887" spans="4:5" ht="13">
      <c r="D887" s="46"/>
      <c r="E887" s="46"/>
    </row>
    <row r="888" spans="4:5" ht="13">
      <c r="D888" s="46"/>
      <c r="E888" s="46"/>
    </row>
    <row r="889" spans="4:5" ht="13">
      <c r="D889" s="46"/>
      <c r="E889" s="46"/>
    </row>
    <row r="890" spans="4:5" ht="13">
      <c r="D890" s="46"/>
      <c r="E890" s="46"/>
    </row>
    <row r="891" spans="4:5" ht="13">
      <c r="D891" s="46"/>
      <c r="E891" s="46"/>
    </row>
    <row r="892" spans="4:5" ht="13">
      <c r="D892" s="46"/>
      <c r="E892" s="46"/>
    </row>
    <row r="893" spans="4:5" ht="13">
      <c r="D893" s="46"/>
      <c r="E893" s="46"/>
    </row>
    <row r="894" spans="4:5" ht="13">
      <c r="D894" s="46"/>
      <c r="E894" s="46"/>
    </row>
    <row r="895" spans="4:5" ht="13">
      <c r="D895" s="46"/>
      <c r="E895" s="46"/>
    </row>
    <row r="896" spans="4:5" ht="13">
      <c r="D896" s="46"/>
      <c r="E896" s="46"/>
    </row>
    <row r="897" spans="4:5" ht="13">
      <c r="D897" s="46"/>
      <c r="E897" s="46"/>
    </row>
    <row r="898" spans="4:5" ht="13">
      <c r="D898" s="46"/>
      <c r="E898" s="46"/>
    </row>
    <row r="899" spans="4:5" ht="13">
      <c r="D899" s="46"/>
      <c r="E899" s="46"/>
    </row>
    <row r="900" spans="4:5" ht="13">
      <c r="D900" s="46"/>
      <c r="E900" s="46"/>
    </row>
    <row r="901" spans="4:5" ht="13">
      <c r="D901" s="46"/>
      <c r="E901" s="46"/>
    </row>
    <row r="902" spans="4:5" ht="13">
      <c r="D902" s="46"/>
      <c r="E902" s="46"/>
    </row>
    <row r="903" spans="4:5" ht="13">
      <c r="D903" s="46"/>
      <c r="E903" s="46"/>
    </row>
    <row r="904" spans="4:5" ht="13">
      <c r="D904" s="46"/>
      <c r="E904" s="46"/>
    </row>
    <row r="905" spans="4:5" ht="13">
      <c r="D905" s="46"/>
      <c r="E905" s="46"/>
    </row>
    <row r="906" spans="4:5" ht="13">
      <c r="D906" s="46"/>
      <c r="E906" s="46"/>
    </row>
    <row r="907" spans="4:5" ht="13">
      <c r="D907" s="46"/>
      <c r="E907" s="46"/>
    </row>
    <row r="908" spans="4:5" ht="13">
      <c r="D908" s="46"/>
      <c r="E908" s="46"/>
    </row>
    <row r="909" spans="4:5" ht="13">
      <c r="D909" s="46"/>
      <c r="E909" s="46"/>
    </row>
    <row r="910" spans="4:5" ht="13">
      <c r="D910" s="46"/>
      <c r="E910" s="46"/>
    </row>
    <row r="911" spans="4:5" ht="13">
      <c r="D911" s="46"/>
      <c r="E911" s="46"/>
    </row>
    <row r="912" spans="4:5" ht="13">
      <c r="D912" s="46"/>
      <c r="E912" s="46"/>
    </row>
    <row r="913" spans="4:5" ht="13">
      <c r="D913" s="46"/>
      <c r="E913" s="46"/>
    </row>
    <row r="914" spans="4:5" ht="13">
      <c r="D914" s="46"/>
      <c r="E914" s="46"/>
    </row>
    <row r="915" spans="4:5" ht="13">
      <c r="D915" s="46"/>
      <c r="E915" s="46"/>
    </row>
    <row r="916" spans="4:5" ht="13">
      <c r="D916" s="46"/>
      <c r="E916" s="46"/>
    </row>
    <row r="917" spans="4:5" ht="13">
      <c r="D917" s="46"/>
      <c r="E917" s="46"/>
    </row>
    <row r="918" spans="4:5" ht="13">
      <c r="D918" s="46"/>
      <c r="E918" s="46"/>
    </row>
    <row r="919" spans="4:5" ht="13">
      <c r="D919" s="46"/>
      <c r="E919" s="46"/>
    </row>
    <row r="920" spans="4:5" ht="13">
      <c r="D920" s="46"/>
      <c r="E920" s="46"/>
    </row>
    <row r="921" spans="4:5" ht="13">
      <c r="D921" s="46"/>
      <c r="E921" s="46"/>
    </row>
    <row r="922" spans="4:5" ht="13">
      <c r="D922" s="46"/>
      <c r="E922" s="46"/>
    </row>
    <row r="923" spans="4:5" ht="13">
      <c r="D923" s="46"/>
      <c r="E923" s="46"/>
    </row>
    <row r="924" spans="4:5" ht="13">
      <c r="D924" s="46"/>
      <c r="E924" s="46"/>
    </row>
    <row r="925" spans="4:5" ht="13">
      <c r="D925" s="46"/>
      <c r="E925" s="46"/>
    </row>
    <row r="926" spans="4:5" ht="13">
      <c r="D926" s="46"/>
      <c r="E926" s="46"/>
    </row>
    <row r="927" spans="4:5" ht="13">
      <c r="D927" s="46"/>
      <c r="E927" s="46"/>
    </row>
    <row r="928" spans="4:5" ht="13">
      <c r="D928" s="46"/>
      <c r="E928" s="46"/>
    </row>
    <row r="929" spans="4:5" ht="13">
      <c r="D929" s="46"/>
      <c r="E929" s="46"/>
    </row>
    <row r="930" spans="4:5" ht="13">
      <c r="D930" s="46"/>
      <c r="E930" s="46"/>
    </row>
    <row r="931" spans="4:5" ht="13">
      <c r="D931" s="46"/>
      <c r="E931" s="46"/>
    </row>
    <row r="932" spans="4:5" ht="13">
      <c r="D932" s="46"/>
      <c r="E932" s="46"/>
    </row>
    <row r="933" spans="4:5" ht="13">
      <c r="D933" s="46"/>
      <c r="E933" s="46"/>
    </row>
    <row r="934" spans="4:5" ht="13">
      <c r="D934" s="46"/>
      <c r="E934" s="46"/>
    </row>
    <row r="935" spans="4:5" ht="13">
      <c r="D935" s="46"/>
      <c r="E935" s="46"/>
    </row>
    <row r="936" spans="4:5" ht="13">
      <c r="D936" s="46"/>
      <c r="E936" s="46"/>
    </row>
    <row r="937" spans="4:5" ht="13">
      <c r="D937" s="46"/>
      <c r="E937" s="46"/>
    </row>
    <row r="938" spans="4:5" ht="13">
      <c r="D938" s="46"/>
      <c r="E938" s="46"/>
    </row>
    <row r="939" spans="4:5" ht="13">
      <c r="D939" s="46"/>
      <c r="E939" s="46"/>
    </row>
    <row r="940" spans="4:5" ht="13">
      <c r="D940" s="46"/>
      <c r="E940" s="46"/>
    </row>
    <row r="941" spans="4:5" ht="13">
      <c r="D941" s="46"/>
      <c r="E941" s="46"/>
    </row>
    <row r="942" spans="4:5" ht="13">
      <c r="D942" s="46"/>
      <c r="E942" s="46"/>
    </row>
    <row r="943" spans="4:5" ht="13">
      <c r="D943" s="46"/>
      <c r="E943" s="46"/>
    </row>
    <row r="944" spans="4:5" ht="13">
      <c r="D944" s="46"/>
      <c r="E944" s="46"/>
    </row>
    <row r="945" spans="4:5" ht="13">
      <c r="D945" s="46"/>
      <c r="E945" s="46"/>
    </row>
    <row r="946" spans="4:5" ht="13">
      <c r="D946" s="46"/>
      <c r="E946" s="46"/>
    </row>
    <row r="947" spans="4:5" ht="13">
      <c r="D947" s="46"/>
      <c r="E947" s="46"/>
    </row>
    <row r="948" spans="4:5" ht="13">
      <c r="D948" s="46"/>
      <c r="E948" s="46"/>
    </row>
    <row r="949" spans="4:5" ht="13">
      <c r="D949" s="46"/>
      <c r="E949" s="46"/>
    </row>
    <row r="950" spans="4:5" ht="13">
      <c r="D950" s="46"/>
      <c r="E950" s="46"/>
    </row>
    <row r="951" spans="4:5" ht="13">
      <c r="D951" s="46"/>
      <c r="E951" s="46"/>
    </row>
    <row r="952" spans="4:5" ht="13">
      <c r="D952" s="46"/>
      <c r="E952" s="46"/>
    </row>
    <row r="953" spans="4:5" ht="13">
      <c r="D953" s="46"/>
      <c r="E953" s="46"/>
    </row>
    <row r="954" spans="4:5" ht="13">
      <c r="D954" s="46"/>
      <c r="E954" s="46"/>
    </row>
    <row r="955" spans="4:5" ht="13">
      <c r="D955" s="46"/>
      <c r="E955" s="46"/>
    </row>
    <row r="956" spans="4:5" ht="13">
      <c r="D956" s="46"/>
      <c r="E956" s="46"/>
    </row>
    <row r="957" spans="4:5" ht="13">
      <c r="D957" s="46"/>
      <c r="E957" s="46"/>
    </row>
    <row r="958" spans="4:5" ht="13">
      <c r="D958" s="46"/>
      <c r="E958" s="46"/>
    </row>
    <row r="959" spans="4:5" ht="13">
      <c r="D959" s="46"/>
      <c r="E959" s="46"/>
    </row>
    <row r="960" spans="4:5" ht="13">
      <c r="D960" s="46"/>
      <c r="E960" s="46"/>
    </row>
    <row r="961" spans="4:5" ht="13">
      <c r="D961" s="46"/>
      <c r="E961" s="46"/>
    </row>
    <row r="962" spans="4:5" ht="13">
      <c r="D962" s="46"/>
      <c r="E962" s="46"/>
    </row>
    <row r="963" spans="4:5" ht="13">
      <c r="D963" s="46"/>
      <c r="E963" s="46"/>
    </row>
    <row r="964" spans="4:5" ht="13">
      <c r="D964" s="46"/>
      <c r="E964" s="46"/>
    </row>
    <row r="965" spans="4:5" ht="13">
      <c r="D965" s="46"/>
      <c r="E965" s="46"/>
    </row>
    <row r="966" spans="4:5" ht="13">
      <c r="D966" s="46"/>
      <c r="E966" s="46"/>
    </row>
    <row r="967" spans="4:5" ht="13">
      <c r="D967" s="46"/>
      <c r="E967" s="46"/>
    </row>
    <row r="968" spans="4:5" ht="13">
      <c r="D968" s="46"/>
      <c r="E968" s="46"/>
    </row>
    <row r="969" spans="4:5" ht="13">
      <c r="D969" s="46"/>
      <c r="E969" s="46"/>
    </row>
    <row r="970" spans="4:5" ht="13">
      <c r="D970" s="46"/>
      <c r="E970" s="46"/>
    </row>
    <row r="971" spans="4:5" ht="13">
      <c r="D971" s="46"/>
      <c r="E971" s="46"/>
    </row>
    <row r="972" spans="4:5" ht="13">
      <c r="D972" s="46"/>
      <c r="E972" s="46"/>
    </row>
    <row r="973" spans="4:5" ht="13">
      <c r="D973" s="46"/>
      <c r="E973" s="46"/>
    </row>
    <row r="974" spans="4:5" ht="13">
      <c r="D974" s="46"/>
      <c r="E974" s="46"/>
    </row>
    <row r="975" spans="4:5" ht="13">
      <c r="D975" s="46"/>
      <c r="E975" s="46"/>
    </row>
    <row r="976" spans="4:5" ht="13">
      <c r="D976" s="46"/>
      <c r="E976" s="46"/>
    </row>
    <row r="977" spans="4:5" ht="13">
      <c r="D977" s="46"/>
      <c r="E977" s="46"/>
    </row>
    <row r="978" spans="4:5" ht="13">
      <c r="D978" s="46"/>
      <c r="E978" s="46"/>
    </row>
    <row r="979" spans="4:5" ht="13">
      <c r="D979" s="46"/>
      <c r="E979" s="46"/>
    </row>
    <row r="980" spans="4:5" ht="13">
      <c r="D980" s="46"/>
      <c r="E980" s="46"/>
    </row>
    <row r="981" spans="4:5" ht="13">
      <c r="D981" s="46"/>
      <c r="E981" s="46"/>
    </row>
    <row r="982" spans="4:5" ht="13">
      <c r="D982" s="46"/>
      <c r="E982" s="46"/>
    </row>
    <row r="983" spans="4:5" ht="13">
      <c r="D983" s="46"/>
      <c r="E983" s="46"/>
    </row>
    <row r="984" spans="4:5" ht="13">
      <c r="D984" s="46"/>
      <c r="E984" s="46"/>
    </row>
    <row r="985" spans="4:5" ht="13">
      <c r="D985" s="46"/>
      <c r="E985" s="46"/>
    </row>
    <row r="986" spans="4:5" ht="13">
      <c r="D986" s="46"/>
      <c r="E986" s="46"/>
    </row>
    <row r="987" spans="4:5" ht="13">
      <c r="D987" s="46"/>
      <c r="E987" s="46"/>
    </row>
    <row r="988" spans="4:5" ht="13">
      <c r="D988" s="46"/>
      <c r="E988" s="46"/>
    </row>
    <row r="989" spans="4:5" ht="13">
      <c r="D989" s="46"/>
      <c r="E989" s="46"/>
    </row>
    <row r="990" spans="4:5" ht="13">
      <c r="D990" s="46"/>
      <c r="E990" s="46"/>
    </row>
    <row r="991" spans="4:5" ht="13">
      <c r="D991" s="46"/>
      <c r="E991" s="46"/>
    </row>
    <row r="992" spans="4:5" ht="13">
      <c r="D992" s="46"/>
      <c r="E992" s="46"/>
    </row>
    <row r="993" spans="4:5" ht="13">
      <c r="D993" s="46"/>
      <c r="E993" s="46"/>
    </row>
    <row r="994" spans="4:5" ht="13">
      <c r="D994" s="46"/>
      <c r="E994" s="46"/>
    </row>
    <row r="995" spans="4:5" ht="13">
      <c r="D995" s="46"/>
      <c r="E995" s="46"/>
    </row>
    <row r="996" spans="4:5" ht="13">
      <c r="D996" s="46"/>
      <c r="E996" s="46"/>
    </row>
    <row r="997" spans="4:5" ht="13">
      <c r="D997" s="46"/>
      <c r="E997" s="46"/>
    </row>
    <row r="998" spans="4:5" ht="13">
      <c r="D998" s="46"/>
      <c r="E998" s="46"/>
    </row>
    <row r="999" spans="4:5" ht="13">
      <c r="D999" s="46"/>
      <c r="E999" s="46"/>
    </row>
    <row r="1000" spans="4:5" ht="13">
      <c r="D1000" s="46"/>
      <c r="E1000" s="46"/>
    </row>
    <row r="1001" spans="4:5" ht="13">
      <c r="D1001" s="46"/>
      <c r="E1001" s="46"/>
    </row>
    <row r="1002" spans="4:5" ht="13">
      <c r="D1002" s="46"/>
      <c r="E1002" s="46"/>
    </row>
    <row r="1003" spans="4:5" ht="13">
      <c r="D1003" s="46"/>
      <c r="E1003" s="46"/>
    </row>
    <row r="1004" spans="4:5" ht="13">
      <c r="D1004" s="46"/>
      <c r="E1004" s="46"/>
    </row>
  </sheetData>
  <autoFilter ref="A1:K1004" xr:uid="{00000000-0009-0000-0000-000007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LSC Org Chart</vt:lpstr>
      <vt:lpstr>Observational Science</vt:lpstr>
      <vt:lpstr>Instrumental Science</vt:lpstr>
      <vt:lpstr>Operations</vt:lpstr>
      <vt:lpstr>Communications</vt:lpstr>
      <vt:lpstr>Standards and Services</vt:lpstr>
      <vt:lpstr>Current</vt:lpstr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Patrick Brady</cp:lastModifiedBy>
  <dcterms:created xsi:type="dcterms:W3CDTF">2022-06-13T22:42:10Z</dcterms:created>
  <dcterms:modified xsi:type="dcterms:W3CDTF">2022-06-13T22:42:14Z</dcterms:modified>
</cp:coreProperties>
</file>