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720" yWindow="-80" windowWidth="21600" windowHeight="15320" tabRatio="500"/>
  </bookViews>
  <sheets>
    <sheet name="SR2-04 (second check 3Sep13)" sheetId="2" r:id="rId1"/>
  </sheets>
  <definedNames>
    <definedName name="_xlnm.Print_Area" localSheetId="0">'SR2-04 (second check 3Sep13)'!$B$1:$P$43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15" i="2"/>
  <c r="E16"/>
  <c r="E19"/>
  <c r="E21"/>
  <c r="M34"/>
  <c r="N15"/>
  <c r="N16"/>
  <c r="N19"/>
  <c r="N21"/>
  <c r="M15"/>
  <c r="M16"/>
  <c r="M19"/>
  <c r="M21"/>
  <c r="G33"/>
  <c r="G34"/>
  <c r="G37"/>
  <c r="G39"/>
  <c r="E33"/>
  <c r="E34"/>
  <c r="E37"/>
  <c r="E39"/>
  <c r="F33"/>
  <c r="F34"/>
  <c r="F37"/>
  <c r="F39"/>
  <c r="E40"/>
  <c r="G41"/>
  <c r="F41"/>
  <c r="E41"/>
  <c r="P33"/>
  <c r="P34"/>
  <c r="P37"/>
  <c r="P39"/>
  <c r="P40"/>
  <c r="O33"/>
  <c r="O34"/>
  <c r="O37"/>
  <c r="O39"/>
  <c r="O40"/>
  <c r="N33"/>
  <c r="N34"/>
  <c r="N37"/>
  <c r="N39"/>
  <c r="N40"/>
  <c r="M33"/>
  <c r="M37"/>
  <c r="M39"/>
  <c r="M40"/>
  <c r="L33"/>
  <c r="L34"/>
  <c r="L37"/>
  <c r="L39"/>
  <c r="L40"/>
  <c r="K33"/>
  <c r="K34"/>
  <c r="K37"/>
  <c r="K39"/>
  <c r="K40"/>
  <c r="J33"/>
  <c r="J34"/>
  <c r="J37"/>
  <c r="J39"/>
  <c r="J40"/>
  <c r="I33"/>
  <c r="I34"/>
  <c r="I37"/>
  <c r="I39"/>
  <c r="I40"/>
  <c r="E28"/>
  <c r="E27"/>
  <c r="G15"/>
  <c r="G16"/>
  <c r="G19"/>
  <c r="G21"/>
  <c r="F15"/>
  <c r="F16"/>
  <c r="F19"/>
  <c r="F21"/>
  <c r="E22"/>
  <c r="G23"/>
  <c r="F23"/>
  <c r="E23"/>
  <c r="N22"/>
  <c r="M22"/>
  <c r="L15"/>
  <c r="L16"/>
  <c r="L19"/>
  <c r="L21"/>
  <c r="L22"/>
  <c r="K15"/>
  <c r="K16"/>
  <c r="K19"/>
  <c r="K21"/>
  <c r="K22"/>
  <c r="J15"/>
  <c r="J16"/>
  <c r="J19"/>
  <c r="J21"/>
  <c r="J22"/>
  <c r="I15"/>
  <c r="I16"/>
  <c r="I19"/>
  <c r="I21"/>
  <c r="I22"/>
</calcChain>
</file>

<file path=xl/sharedStrings.xml><?xml version="1.0" encoding="utf-8"?>
<sst xmlns="http://schemas.openxmlformats.org/spreadsheetml/2006/main" count="92" uniqueCount="69">
  <si>
    <t>For SR2-04, the measured ROC is very close to the lower end of the designed range (absolute value). The cumulative measurement error is less than 0.1%, and is conservative. Measured Zernike terms have the least effect. The uncertainty in measuring the gap between TS and optic contributes to 1 mm change in ROC per 1 mm distance.</t>
    <phoneticPr fontId="2" type="noConversion"/>
  </si>
  <si>
    <t>DCC: T-1300653-v1</t>
    <phoneticPr fontId="2" type="noConversion"/>
  </si>
  <si>
    <t>from Z86 database, for all rotations</t>
    <phoneticPr fontId="2" type="noConversion"/>
  </si>
  <si>
    <t xml:space="preserve"> Z[3]min=0.003954wv</t>
    <phoneticPr fontId="2" type="noConversion"/>
  </si>
  <si>
    <t xml:space="preserve"> Z[3]max=0.007719wv</t>
    <phoneticPr fontId="2" type="noConversion"/>
  </si>
  <si>
    <t>Tolerances due to Z-3 fluctuations</t>
    <phoneticPr fontId="2" type="noConversion"/>
  </si>
  <si>
    <t>Cumulative:     + 5.6 mm /- 5.9 mm   (&lt;0.1%)</t>
    <phoneticPr fontId="2" type="noConversion"/>
  </si>
  <si>
    <t xml:space="preserve">We determined the Radius of Curvature from phase maps taken at CIT by R. Martin and G. Billingsley with the Wyko inteferometer. For different mirror orientations we measured the third order Zernike terms and the distance between the optic and the transmission sphere. Radii of Curvature for the Transmission Spheres (TS) were provided by the manufacturer. Based on measurement uncertainties we placed error bars on the calculated values.        </t>
    <phoneticPr fontId="2" type="noConversion"/>
  </si>
  <si>
    <t>Measurement Uncertainties in Determining the Radius of Curvature for SR2-04</t>
    <phoneticPr fontId="2" type="noConversion"/>
  </si>
  <si>
    <t>(conservative, measured +/-1 mm)</t>
    <phoneticPr fontId="2" type="noConversion"/>
  </si>
  <si>
    <t>0 deg (arrow up)</t>
    <phoneticPr fontId="3" type="noConversion"/>
  </si>
  <si>
    <t>90 deg (arrow right)</t>
    <phoneticPr fontId="3" type="noConversion"/>
  </si>
  <si>
    <t>225 deg</t>
    <phoneticPr fontId="3" type="noConversion"/>
  </si>
  <si>
    <t>Date: 9/3/2013</t>
    <phoneticPr fontId="2" type="noConversion"/>
  </si>
  <si>
    <t>Tolerances due to Z-3 fluctuations over the selected aperture location</t>
    <phoneticPr fontId="2" type="noConversion"/>
  </si>
  <si>
    <t>ROC-x (max)</t>
    <phoneticPr fontId="2" type="noConversion"/>
  </si>
  <si>
    <t>ROC-y (min)</t>
    <phoneticPr fontId="2" type="noConversion"/>
  </si>
  <si>
    <t xml:space="preserve"> +2mm</t>
    <phoneticPr fontId="2" type="noConversion"/>
  </si>
  <si>
    <t xml:space="preserve"> -2mm</t>
    <phoneticPr fontId="2" type="noConversion"/>
  </si>
  <si>
    <t>Assumes converging TS and cvx part</t>
    <phoneticPr fontId="3" type="noConversion"/>
  </si>
  <si>
    <t>Tolerances due to RS-ROC</t>
    <phoneticPr fontId="2" type="noConversion"/>
  </si>
  <si>
    <t>Tolerances due to gap TS-optic</t>
    <phoneticPr fontId="2" type="noConversion"/>
  </si>
  <si>
    <t xml:space="preserve"> +/- 0.37 mm</t>
    <phoneticPr fontId="2" type="noConversion"/>
  </si>
  <si>
    <t xml:space="preserve"> +/- 3.2 mm</t>
    <phoneticPr fontId="2" type="noConversion"/>
  </si>
  <si>
    <t xml:space="preserve"> +/- 2.0 mm</t>
    <phoneticPr fontId="2" type="noConversion"/>
  </si>
  <si>
    <t xml:space="preserve"> +/- 0.7 mm</t>
    <phoneticPr fontId="2" type="noConversion"/>
  </si>
  <si>
    <t>Specified Radius</t>
    <phoneticPr fontId="3" type="noConversion"/>
  </si>
  <si>
    <t>m</t>
    <phoneticPr fontId="3" type="noConversion"/>
  </si>
  <si>
    <t xml:space="preserve"> (+/-0.03)</t>
    <phoneticPr fontId="3" type="noConversion"/>
  </si>
  <si>
    <t>min</t>
    <phoneticPr fontId="2" type="noConversion"/>
  </si>
  <si>
    <t>max</t>
    <phoneticPr fontId="2" type="noConversion"/>
  </si>
  <si>
    <t>Effect of mask centering on measured Zernike-3 (0 deg)</t>
    <phoneticPr fontId="2" type="noConversion"/>
  </si>
  <si>
    <t xml:space="preserve"> </t>
    <phoneticPr fontId="3" type="noConversion"/>
  </si>
  <si>
    <t>Assumes converging TS and cvx part</t>
    <phoneticPr fontId="3" type="noConversion"/>
  </si>
  <si>
    <t xml:space="preserve"> +/- 0.59 mm</t>
    <phoneticPr fontId="2" type="noConversion"/>
  </si>
  <si>
    <t xml:space="preserve"> +0 mm/ -0.9 mm</t>
    <phoneticPr fontId="2" type="noConversion"/>
  </si>
  <si>
    <t>Cumulative:     +5.2 mm / - 6.1 mm   (&lt;0.1%)</t>
    <phoneticPr fontId="2" type="noConversion"/>
  </si>
  <si>
    <t>SR2-04  (used average of all good files at each rotation)</t>
  </si>
  <si>
    <t>ROC-x (max)</t>
    <phoneticPr fontId="2" type="noConversion"/>
  </si>
  <si>
    <t>ROC-y (min)</t>
    <phoneticPr fontId="2" type="noConversion"/>
  </si>
  <si>
    <t xml:space="preserve"> +2mm</t>
    <phoneticPr fontId="2" type="noConversion"/>
  </si>
  <si>
    <t xml:space="preserve"> x+5.32mm, y0</t>
    <phoneticPr fontId="2" type="noConversion"/>
  </si>
  <si>
    <t xml:space="preserve"> x-5.32mm, y0</t>
    <phoneticPr fontId="2" type="noConversion"/>
  </si>
  <si>
    <t xml:space="preserve"> x0, y+5.32mm</t>
    <phoneticPr fontId="2" type="noConversion"/>
  </si>
  <si>
    <t xml:space="preserve"> x0, y-5.32mm</t>
    <phoneticPr fontId="2" type="noConversion"/>
  </si>
  <si>
    <t>Effect of TS-ROC (0 deg)</t>
    <phoneticPr fontId="2" type="noConversion"/>
  </si>
  <si>
    <t>Effect of Gap (0 deg)</t>
    <phoneticPr fontId="2" type="noConversion"/>
  </si>
  <si>
    <t>Effect of Measured Zernike-3 (0 deg)</t>
    <phoneticPr fontId="2" type="noConversion"/>
  </si>
  <si>
    <t>50 mm aperture</t>
    <phoneticPr fontId="2" type="noConversion"/>
  </si>
  <si>
    <t>(from ZYGO Report)</t>
    <phoneticPr fontId="2" type="noConversion"/>
  </si>
  <si>
    <t>25 mm aperture</t>
    <phoneticPr fontId="2" type="noConversion"/>
  </si>
  <si>
    <t>(from ZYGO Report)</t>
    <phoneticPr fontId="2" type="noConversion"/>
  </si>
  <si>
    <t>(conservative, measured +/-1 mm)</t>
    <phoneticPr fontId="2" type="noConversion"/>
  </si>
  <si>
    <t>0 deg (arrow up)</t>
    <phoneticPr fontId="3" type="noConversion"/>
  </si>
  <si>
    <t>90 deg (arrow right)</t>
    <phoneticPr fontId="3" type="noConversion"/>
  </si>
  <si>
    <t>225 deg</t>
    <phoneticPr fontId="3" type="noConversion"/>
  </si>
  <si>
    <t xml:space="preserve"> -2mm</t>
    <phoneticPr fontId="2" type="noConversion"/>
  </si>
  <si>
    <t>Radius of curvature of TS</t>
  </si>
  <si>
    <t>m</t>
  </si>
  <si>
    <t>Gap between TS and part to be measured</t>
  </si>
  <si>
    <t>Vertex to vertex, no tilt</t>
  </si>
  <si>
    <t>Zernike power coefficient</t>
  </si>
  <si>
    <t>Assumes "Fringe" Zernikes</t>
  </si>
  <si>
    <t>nm</t>
  </si>
  <si>
    <t>Part measured aperture</t>
  </si>
  <si>
    <t>mm</t>
  </si>
  <si>
    <t>Wavefront "sag" at part plus power</t>
  </si>
  <si>
    <t xml:space="preserve">Part radius </t>
  </si>
  <si>
    <t>R. Martin and G. Billingsley</t>
    <phoneticPr fontId="2" type="noConversion"/>
  </si>
</sst>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000"/>
    <numFmt numFmtId="169" formatCode="0.000"/>
    <numFmt numFmtId="170" formatCode="0.00000"/>
  </numFmts>
  <fonts count="20">
    <font>
      <sz val="11"/>
      <color indexed="8"/>
      <name val="Calibri"/>
      <family val="2"/>
    </font>
    <font>
      <sz val="12"/>
      <name val="Arial"/>
    </font>
    <font>
      <sz val="8"/>
      <name val="Arial"/>
    </font>
    <font>
      <b/>
      <sz val="10"/>
      <color indexed="12"/>
      <name val="Arial"/>
    </font>
    <font>
      <sz val="11"/>
      <color indexed="8"/>
      <name val="Calibri"/>
      <family val="2"/>
    </font>
    <font>
      <i/>
      <sz val="11"/>
      <name val="Arial"/>
    </font>
    <font>
      <b/>
      <u/>
      <sz val="12"/>
      <name val="Arial"/>
    </font>
    <font>
      <sz val="11"/>
      <color indexed="8"/>
      <name val="Arial"/>
    </font>
    <font>
      <b/>
      <sz val="11"/>
      <color indexed="8"/>
      <name val="Arial"/>
    </font>
    <font>
      <b/>
      <sz val="11"/>
      <color indexed="61"/>
      <name val="Arial"/>
    </font>
    <font>
      <b/>
      <sz val="11"/>
      <name val="Arial"/>
    </font>
    <font>
      <sz val="11"/>
      <name val="Arial"/>
    </font>
    <font>
      <b/>
      <sz val="12"/>
      <color indexed="12"/>
      <name val="Arial"/>
    </font>
    <font>
      <b/>
      <u/>
      <sz val="11"/>
      <color indexed="10"/>
      <name val="Arial"/>
    </font>
    <font>
      <b/>
      <u/>
      <sz val="11"/>
      <name val="Arial"/>
    </font>
    <font>
      <u/>
      <sz val="11"/>
      <name val="Arial"/>
    </font>
    <font>
      <b/>
      <sz val="11"/>
      <color indexed="12"/>
      <name val="Arial"/>
    </font>
    <font>
      <sz val="11"/>
      <color indexed="61"/>
      <name val="Arial"/>
    </font>
    <font>
      <b/>
      <u/>
      <sz val="11"/>
      <color indexed="61"/>
      <name val="Arial"/>
    </font>
    <font>
      <sz val="11"/>
      <color indexed="10"/>
      <name val="Arial"/>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5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center"/>
    </xf>
    <xf numFmtId="0" fontId="0" fillId="0" borderId="0" xfId="0" applyFill="1"/>
    <xf numFmtId="0" fontId="7" fillId="0" borderId="0" xfId="0" applyFont="1"/>
    <xf numFmtId="0" fontId="7" fillId="0" borderId="0" xfId="0" applyFont="1" applyAlignment="1">
      <alignment horizontal="center"/>
    </xf>
    <xf numFmtId="0" fontId="7" fillId="0" borderId="0" xfId="0" applyFont="1" applyFill="1"/>
    <xf numFmtId="0" fontId="8" fillId="0" borderId="0" xfId="0" applyFont="1"/>
    <xf numFmtId="0" fontId="8" fillId="0" borderId="0" xfId="0" applyFont="1" applyAlignment="1">
      <alignment horizontal="center"/>
    </xf>
    <xf numFmtId="0" fontId="7" fillId="0" borderId="0" xfId="0" applyFont="1" applyBorder="1" applyAlignment="1">
      <alignment horizontal="center"/>
    </xf>
    <xf numFmtId="168" fontId="8" fillId="0" borderId="0" xfId="0" applyNumberFormat="1" applyFont="1" applyBorder="1" applyAlignment="1">
      <alignment horizontal="center"/>
    </xf>
    <xf numFmtId="168" fontId="9" fillId="0" borderId="1" xfId="0" applyNumberFormat="1" applyFont="1" applyBorder="1" applyAlignment="1">
      <alignment horizontal="center"/>
    </xf>
    <xf numFmtId="168" fontId="9" fillId="0" borderId="3" xfId="0" applyNumberFormat="1" applyFont="1" applyBorder="1" applyAlignment="1">
      <alignment horizontal="center"/>
    </xf>
    <xf numFmtId="168" fontId="9" fillId="0" borderId="2" xfId="0" applyNumberFormat="1" applyFont="1" applyBorder="1" applyAlignment="1">
      <alignment horizontal="center"/>
    </xf>
    <xf numFmtId="0" fontId="11" fillId="0" borderId="0" xfId="0" applyFont="1" applyBorder="1" applyAlignment="1">
      <alignment horizontal="center"/>
    </xf>
    <xf numFmtId="0" fontId="13" fillId="0" borderId="0" xfId="0" applyFont="1" applyAlignment="1"/>
    <xf numFmtId="0" fontId="7" fillId="0" borderId="0" xfId="0" applyFont="1" applyAlignment="1">
      <alignment wrapText="1"/>
    </xf>
    <xf numFmtId="0" fontId="7" fillId="0" borderId="0" xfId="0" applyFont="1" applyAlignment="1">
      <alignment horizontal="center" wrapText="1"/>
    </xf>
    <xf numFmtId="0" fontId="7" fillId="0" borderId="12" xfId="0" applyFont="1" applyBorder="1" applyAlignment="1">
      <alignment wrapText="1"/>
    </xf>
    <xf numFmtId="0" fontId="7" fillId="0" borderId="2" xfId="0" applyFont="1" applyBorder="1" applyAlignment="1">
      <alignment wrapText="1"/>
    </xf>
    <xf numFmtId="0" fontId="7" fillId="0" borderId="0" xfId="0" applyFont="1" applyBorder="1" applyAlignment="1">
      <alignment wrapText="1"/>
    </xf>
    <xf numFmtId="0" fontId="15" fillId="0" borderId="12" xfId="0" applyFont="1" applyBorder="1" applyAlignment="1">
      <alignment horizontal="right"/>
    </xf>
    <xf numFmtId="0" fontId="7" fillId="0" borderId="13" xfId="0" applyFont="1" applyBorder="1"/>
    <xf numFmtId="0" fontId="7" fillId="0" borderId="0" xfId="0" applyFont="1" applyBorder="1"/>
    <xf numFmtId="2" fontId="8" fillId="0" borderId="13" xfId="0" applyNumberFormat="1" applyFont="1" applyBorder="1"/>
    <xf numFmtId="2" fontId="8" fillId="0" borderId="0" xfId="0" applyNumberFormat="1" applyFont="1" applyBorder="1"/>
    <xf numFmtId="0" fontId="8" fillId="0" borderId="0" xfId="0" applyFont="1" applyAlignment="1">
      <alignment wrapText="1"/>
    </xf>
    <xf numFmtId="168" fontId="8" fillId="0" borderId="14" xfId="0" applyNumberFormat="1" applyFont="1" applyBorder="1"/>
    <xf numFmtId="168" fontId="8" fillId="0" borderId="0" xfId="0" applyNumberFormat="1" applyFont="1" applyBorder="1"/>
    <xf numFmtId="0" fontId="9" fillId="0" borderId="0" xfId="0" applyFont="1"/>
    <xf numFmtId="170" fontId="11" fillId="0" borderId="0" xfId="0" applyNumberFormat="1" applyFont="1"/>
    <xf numFmtId="0" fontId="17" fillId="0" borderId="0" xfId="0" applyFont="1"/>
    <xf numFmtId="0" fontId="9" fillId="0" borderId="0" xfId="0" applyFont="1" applyAlignment="1">
      <alignment horizontal="right"/>
    </xf>
    <xf numFmtId="0" fontId="9" fillId="0" borderId="0" xfId="0" applyFont="1" applyAlignment="1">
      <alignment horizontal="center"/>
    </xf>
    <xf numFmtId="2" fontId="18" fillId="0" borderId="0" xfId="0" applyNumberFormat="1" applyFont="1"/>
    <xf numFmtId="2" fontId="17" fillId="0" borderId="0" xfId="0" applyNumberFormat="1" applyFont="1" applyBorder="1"/>
    <xf numFmtId="169" fontId="17" fillId="0" borderId="0" xfId="0" applyNumberFormat="1" applyFont="1"/>
    <xf numFmtId="2" fontId="17" fillId="0" borderId="0" xfId="0" applyNumberFormat="1" applyFont="1"/>
    <xf numFmtId="0" fontId="19" fillId="0" borderId="0" xfId="0" applyFont="1"/>
    <xf numFmtId="0" fontId="7" fillId="0" borderId="3" xfId="0" applyFont="1" applyBorder="1" applyAlignment="1">
      <alignment wrapText="1"/>
    </xf>
    <xf numFmtId="0" fontId="15" fillId="0" borderId="3" xfId="0" applyFont="1" applyBorder="1" applyAlignment="1">
      <alignment horizontal="right"/>
    </xf>
    <xf numFmtId="0" fontId="7" fillId="0" borderId="7" xfId="0" applyFont="1" applyBorder="1"/>
    <xf numFmtId="0" fontId="11" fillId="0" borderId="13" xfId="0" applyFont="1" applyBorder="1"/>
    <xf numFmtId="2" fontId="8" fillId="0" borderId="7" xfId="0" applyNumberFormat="1" applyFont="1" applyBorder="1"/>
    <xf numFmtId="2" fontId="10" fillId="0" borderId="13" xfId="0" applyNumberFormat="1" applyFont="1" applyBorder="1"/>
    <xf numFmtId="168" fontId="8" fillId="0" borderId="7" xfId="0" applyNumberFormat="1" applyFont="1" applyBorder="1"/>
    <xf numFmtId="168" fontId="8" fillId="0" borderId="10" xfId="0" applyNumberFormat="1" applyFont="1" applyBorder="1"/>
    <xf numFmtId="168" fontId="10" fillId="0" borderId="13" xfId="0" applyNumberFormat="1" applyFont="1" applyBorder="1"/>
    <xf numFmtId="0" fontId="11" fillId="0" borderId="0" xfId="0" applyFont="1"/>
    <xf numFmtId="168" fontId="11" fillId="0" borderId="0" xfId="0" applyNumberFormat="1" applyFont="1"/>
    <xf numFmtId="0" fontId="12" fillId="0" borderId="0" xfId="0" applyFont="1"/>
    <xf numFmtId="0" fontId="6" fillId="0" borderId="0" xfId="0" applyFont="1"/>
    <xf numFmtId="0" fontId="1" fillId="0" borderId="0" xfId="0" applyFont="1"/>
    <xf numFmtId="0" fontId="13" fillId="0" borderId="0" xfId="0" applyFont="1" applyAlignment="1">
      <alignment wrapText="1"/>
    </xf>
    <xf numFmtId="170" fontId="7" fillId="0" borderId="0" xfId="0" applyNumberFormat="1" applyFont="1"/>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4" fillId="0" borderId="0" xfId="0" applyFont="1" applyAlignment="1">
      <alignment wrapText="1"/>
    </xf>
    <xf numFmtId="0" fontId="4" fillId="0" borderId="0" xfId="0" applyFont="1" applyAlignment="1"/>
    <xf numFmtId="0" fontId="14" fillId="0" borderId="4" xfId="0" applyFont="1" applyBorder="1" applyAlignment="1">
      <alignment horizontal="center"/>
    </xf>
    <xf numFmtId="0" fontId="14" fillId="0" borderId="6" xfId="0" applyFont="1" applyBorder="1" applyAlignment="1"/>
    <xf numFmtId="0" fontId="14" fillId="0" borderId="6" xfId="0" applyFont="1" applyBorder="1" applyAlignment="1">
      <alignment horizontal="center"/>
    </xf>
    <xf numFmtId="168" fontId="16" fillId="4" borderId="1" xfId="0" applyNumberFormat="1" applyFont="1" applyFill="1" applyBorder="1" applyAlignment="1">
      <alignment horizontal="center"/>
    </xf>
    <xf numFmtId="168" fontId="8" fillId="4" borderId="2" xfId="0" applyNumberFormat="1" applyFont="1" applyFill="1" applyBorder="1" applyAlignment="1">
      <alignment horizontal="center"/>
    </xf>
    <xf numFmtId="168" fontId="8" fillId="4" borderId="3" xfId="0" applyNumberFormat="1" applyFont="1" applyFill="1" applyBorder="1" applyAlignment="1">
      <alignment horizontal="center"/>
    </xf>
    <xf numFmtId="0" fontId="17" fillId="0" borderId="2" xfId="0" applyFont="1" applyBorder="1" applyAlignment="1">
      <alignment horizontal="center"/>
    </xf>
    <xf numFmtId="0" fontId="7" fillId="0" borderId="2" xfId="0" applyFont="1" applyBorder="1" applyAlignment="1"/>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1" xfId="0" applyFont="1" applyBorder="1" applyAlignment="1">
      <alignment horizontal="center"/>
    </xf>
    <xf numFmtId="0" fontId="16" fillId="4" borderId="1" xfId="0" applyFont="1" applyFill="1" applyBorder="1" applyAlignment="1">
      <alignment horizontal="center"/>
    </xf>
    <xf numFmtId="0" fontId="0" fillId="0" borderId="2" xfId="0" applyBorder="1"/>
    <xf numFmtId="0" fontId="0" fillId="0" borderId="3" xfId="0" applyBorder="1"/>
    <xf numFmtId="0" fontId="14" fillId="0" borderId="5" xfId="0" applyFont="1" applyBorder="1" applyAlignment="1">
      <alignment horizontal="center"/>
    </xf>
    <xf numFmtId="0" fontId="7" fillId="0" borderId="5" xfId="0" applyFont="1" applyBorder="1" applyAlignment="1"/>
    <xf numFmtId="0" fontId="7" fillId="0" borderId="6" xfId="0" applyFont="1" applyBorder="1" applyAlignment="1"/>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5" fillId="0" borderId="9" xfId="0" applyFont="1" applyBorder="1" applyAlignment="1">
      <alignment horizontal="center"/>
    </xf>
    <xf numFmtId="0" fontId="7" fillId="0" borderId="9" xfId="0" applyFont="1" applyBorder="1" applyAlignment="1"/>
    <xf numFmtId="0" fontId="7" fillId="0" borderId="10" xfId="0" applyFont="1" applyBorder="1" applyAlignment="1"/>
    <xf numFmtId="0" fontId="16" fillId="3" borderId="1" xfId="0" applyFont="1" applyFill="1" applyBorder="1" applyAlignment="1">
      <alignment horizontal="center"/>
    </xf>
    <xf numFmtId="0" fontId="16"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168" fontId="16" fillId="3" borderId="1" xfId="0" applyNumberFormat="1" applyFont="1" applyFill="1" applyBorder="1" applyAlignment="1">
      <alignment horizontal="center"/>
    </xf>
    <xf numFmtId="168" fontId="8" fillId="3" borderId="2" xfId="0" applyNumberFormat="1" applyFont="1" applyFill="1" applyBorder="1" applyAlignment="1">
      <alignment horizontal="center"/>
    </xf>
    <xf numFmtId="168" fontId="8" fillId="3" borderId="3" xfId="0" applyNumberFormat="1" applyFont="1" applyFill="1" applyBorder="1" applyAlignment="1">
      <alignment horizontal="center"/>
    </xf>
    <xf numFmtId="0" fontId="17" fillId="0" borderId="0" xfId="0" applyFont="1" applyBorder="1" applyAlignment="1">
      <alignment horizontal="center"/>
    </xf>
    <xf numFmtId="0" fontId="7" fillId="0" borderId="0" xfId="0" applyFont="1" applyBorder="1" applyAlignment="1"/>
    <xf numFmtId="0" fontId="10" fillId="0" borderId="4" xfId="0" applyFont="1" applyBorder="1" applyAlignment="1">
      <alignment horizontal="center"/>
    </xf>
    <xf numFmtId="0" fontId="10" fillId="0" borderId="6" xfId="0" applyFont="1" applyBorder="1" applyAlignment="1">
      <alignment horizontal="center"/>
    </xf>
    <xf numFmtId="0" fontId="7" fillId="0" borderId="3" xfId="0" applyFont="1" applyBorder="1" applyAlignme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P56"/>
  <sheetViews>
    <sheetView tabSelected="1" zoomScale="75" zoomScaleNormal="150" zoomScalePageLayoutView="150" workbookViewId="0">
      <selection activeCell="F5" sqref="F5"/>
    </sheetView>
  </sheetViews>
  <sheetFormatPr baseColWidth="10" defaultColWidth="5.1640625" defaultRowHeight="14"/>
  <cols>
    <col min="1" max="1" width="3.1640625" customWidth="1"/>
    <col min="2" max="2" width="27.1640625" customWidth="1"/>
    <col min="3" max="3" width="28.6640625" hidden="1" customWidth="1"/>
    <col min="4" max="4" width="9.5" style="1" customWidth="1"/>
    <col min="5" max="5" width="9.6640625" customWidth="1"/>
    <col min="6" max="6" width="11.6640625" customWidth="1"/>
    <col min="7" max="7" width="8.83203125" customWidth="1"/>
    <col min="8" max="8" width="1.33203125" customWidth="1"/>
    <col min="9" max="9" width="13.5" customWidth="1"/>
    <col min="10" max="10" width="13.33203125" customWidth="1"/>
    <col min="11" max="11" width="15.1640625" customWidth="1"/>
    <col min="12" max="12" width="15.6640625" customWidth="1"/>
    <col min="13" max="13" width="21.33203125" customWidth="1"/>
    <col min="14" max="14" width="20" customWidth="1"/>
    <col min="15" max="15" width="17.6640625" style="2" customWidth="1"/>
    <col min="16" max="16" width="18.33203125" customWidth="1"/>
    <col min="17" max="17" width="2.5" customWidth="1"/>
    <col min="18" max="18" width="8.33203125" customWidth="1"/>
    <col min="19" max="19" width="11.33203125" customWidth="1"/>
    <col min="20" max="20" width="11.83203125" customWidth="1"/>
  </cols>
  <sheetData>
    <row r="1" spans="2:16" s="3" customFormat="1" ht="15">
      <c r="B1" s="49" t="s">
        <v>1</v>
      </c>
      <c r="D1" s="4"/>
      <c r="O1" s="5"/>
    </row>
    <row r="2" spans="2:16" s="3" customFormat="1" ht="15">
      <c r="B2" s="49"/>
      <c r="D2" s="4"/>
      <c r="O2" s="5"/>
    </row>
    <row r="3" spans="2:16" s="3" customFormat="1" ht="15">
      <c r="B3" s="50" t="s">
        <v>8</v>
      </c>
      <c r="D3" s="4"/>
      <c r="O3" s="5"/>
    </row>
    <row r="4" spans="2:16" s="3" customFormat="1" ht="15">
      <c r="B4" s="51" t="s">
        <v>68</v>
      </c>
      <c r="D4" s="4"/>
      <c r="O4" s="5"/>
    </row>
    <row r="5" spans="2:16" s="3" customFormat="1" ht="15">
      <c r="B5" s="51" t="s">
        <v>13</v>
      </c>
      <c r="D5" s="4"/>
      <c r="O5" s="5"/>
    </row>
    <row r="6" spans="2:16" s="3" customFormat="1" ht="13">
      <c r="D6" s="4"/>
      <c r="O6" s="5"/>
    </row>
    <row r="7" spans="2:16" s="3" customFormat="1" ht="15">
      <c r="B7" s="49"/>
      <c r="D7" s="4"/>
      <c r="O7" s="5"/>
    </row>
    <row r="8" spans="2:16" s="3" customFormat="1" ht="52" customHeight="1">
      <c r="B8" s="59" t="s">
        <v>7</v>
      </c>
      <c r="C8" s="59"/>
      <c r="D8" s="59"/>
      <c r="E8" s="59"/>
      <c r="F8" s="59"/>
      <c r="G8" s="59"/>
      <c r="H8" s="60"/>
      <c r="I8" s="60"/>
      <c r="J8" s="60"/>
      <c r="K8" s="60"/>
      <c r="L8" s="60"/>
      <c r="M8" s="60"/>
      <c r="N8" s="60"/>
      <c r="O8" s="5"/>
    </row>
    <row r="9" spans="2:16" s="3" customFormat="1" ht="44" customHeight="1">
      <c r="B9" s="59" t="s">
        <v>0</v>
      </c>
      <c r="C9" s="59"/>
      <c r="D9" s="59"/>
      <c r="E9" s="59"/>
      <c r="F9" s="59"/>
      <c r="G9" s="59"/>
      <c r="H9" s="60"/>
      <c r="I9" s="60"/>
      <c r="J9" s="60"/>
      <c r="K9" s="60"/>
      <c r="L9" s="60"/>
      <c r="M9" s="60"/>
      <c r="N9" s="60"/>
      <c r="O9" s="5"/>
    </row>
    <row r="10" spans="2:16" s="3" customFormat="1" ht="7" customHeight="1">
      <c r="D10" s="4"/>
      <c r="I10" s="14"/>
      <c r="O10" s="5"/>
    </row>
    <row r="11" spans="2:16" s="6" customFormat="1" ht="21" customHeight="1">
      <c r="D11" s="7"/>
      <c r="I11" s="61" t="s">
        <v>45</v>
      </c>
      <c r="J11" s="62"/>
      <c r="K11" s="61" t="s">
        <v>46</v>
      </c>
      <c r="L11" s="63"/>
      <c r="M11" s="61" t="s">
        <v>47</v>
      </c>
      <c r="N11" s="63"/>
      <c r="O11" s="3"/>
      <c r="P11" s="3"/>
    </row>
    <row r="12" spans="2:16" s="3" customFormat="1" ht="33" customHeight="1">
      <c r="B12" s="52" t="s">
        <v>37</v>
      </c>
      <c r="C12" s="15"/>
      <c r="D12" s="16"/>
      <c r="E12" s="54" t="s">
        <v>48</v>
      </c>
      <c r="F12" s="55"/>
      <c r="G12" s="56"/>
      <c r="H12" s="8"/>
      <c r="I12" s="57" t="s">
        <v>49</v>
      </c>
      <c r="J12" s="58"/>
      <c r="K12" s="57" t="s">
        <v>9</v>
      </c>
      <c r="L12" s="58"/>
      <c r="M12" s="57" t="s">
        <v>2</v>
      </c>
      <c r="N12" s="58"/>
    </row>
    <row r="13" spans="2:16" s="15" customFormat="1" ht="28" customHeight="1">
      <c r="D13" s="16"/>
      <c r="E13" s="17" t="s">
        <v>10</v>
      </c>
      <c r="F13" s="18" t="s">
        <v>11</v>
      </c>
      <c r="G13" s="17" t="s">
        <v>12</v>
      </c>
      <c r="H13" s="19"/>
      <c r="I13" s="17" t="s">
        <v>15</v>
      </c>
      <c r="J13" s="17" t="s">
        <v>16</v>
      </c>
      <c r="K13" s="20" t="s">
        <v>17</v>
      </c>
      <c r="L13" s="20" t="s">
        <v>18</v>
      </c>
      <c r="M13" s="20" t="s">
        <v>3</v>
      </c>
      <c r="N13" s="20" t="s">
        <v>4</v>
      </c>
      <c r="O13" s="53"/>
      <c r="P13" s="3"/>
    </row>
    <row r="14" spans="2:16" s="3" customFormat="1" ht="13">
      <c r="B14" s="15" t="s">
        <v>57</v>
      </c>
      <c r="C14" s="3" t="s">
        <v>19</v>
      </c>
      <c r="D14" s="4" t="s">
        <v>58</v>
      </c>
      <c r="E14" s="21">
        <v>-6.4988599999999996</v>
      </c>
      <c r="F14" s="22">
        <v>-6.4988599999999996</v>
      </c>
      <c r="G14" s="21">
        <v>-6.4988599999999996</v>
      </c>
      <c r="H14" s="22"/>
      <c r="I14" s="21">
        <v>-6.5020699999999998</v>
      </c>
      <c r="J14" s="21">
        <v>-6.4956399999999999</v>
      </c>
      <c r="K14" s="21">
        <v>-6.4988599999999996</v>
      </c>
      <c r="L14" s="21">
        <v>-6.4988599999999996</v>
      </c>
      <c r="M14" s="21">
        <v>-6.4988599999999996</v>
      </c>
      <c r="N14" s="21">
        <v>-6.4988599999999996</v>
      </c>
    </row>
    <row r="15" spans="2:16" s="3" customFormat="1" ht="26">
      <c r="B15" s="15" t="s">
        <v>59</v>
      </c>
      <c r="C15" s="3" t="s">
        <v>60</v>
      </c>
      <c r="D15" s="4" t="s">
        <v>58</v>
      </c>
      <c r="E15" s="21">
        <f>0.09+0.00462</f>
        <v>9.4619999999999996E-2</v>
      </c>
      <c r="F15" s="22">
        <f>0.09+0.00462</f>
        <v>9.4619999999999996E-2</v>
      </c>
      <c r="G15" s="21">
        <f>0.0907+0.00462</f>
        <v>9.5320000000000002E-2</v>
      </c>
      <c r="H15" s="22"/>
      <c r="I15" s="21">
        <f>0.09+0.00462</f>
        <v>9.4619999999999996E-2</v>
      </c>
      <c r="J15" s="21">
        <f>0.09+0.00462</f>
        <v>9.4619999999999996E-2</v>
      </c>
      <c r="K15" s="21">
        <f>0.09+0.00462+0.002</f>
        <v>9.6619999999999998E-2</v>
      </c>
      <c r="L15" s="21">
        <f>0.09+0.00462-0.002</f>
        <v>9.2619999999999994E-2</v>
      </c>
      <c r="M15" s="21">
        <f>0.09+0.00462</f>
        <v>9.4619999999999996E-2</v>
      </c>
      <c r="N15" s="21">
        <f>0.09+0.00462</f>
        <v>9.4619999999999996E-2</v>
      </c>
    </row>
    <row r="16" spans="2:16" s="3" customFormat="1" ht="13">
      <c r="B16" s="15" t="s">
        <v>61</v>
      </c>
      <c r="C16" s="3" t="s">
        <v>62</v>
      </c>
      <c r="D16" s="4" t="s">
        <v>63</v>
      </c>
      <c r="E16" s="23">
        <f>0.005229*1064</f>
        <v>5.5636559999999999</v>
      </c>
      <c r="F16" s="24">
        <f>0.006589*1064</f>
        <v>7.0106960000000003</v>
      </c>
      <c r="G16" s="23">
        <f>0.00648*1064</f>
        <v>6.8947199999999995</v>
      </c>
      <c r="H16" s="24"/>
      <c r="I16" s="23">
        <f>0.005229*1064</f>
        <v>5.5636559999999999</v>
      </c>
      <c r="J16" s="23">
        <f>0.005229*1064</f>
        <v>5.5636559999999999</v>
      </c>
      <c r="K16" s="23">
        <f>0.005229*1064</f>
        <v>5.5636559999999999</v>
      </c>
      <c r="L16" s="23">
        <f>0.005229*1064</f>
        <v>5.5636559999999999</v>
      </c>
      <c r="M16" s="23">
        <f>0.003954*1064</f>
        <v>4.2070559999999997</v>
      </c>
      <c r="N16" s="23">
        <f>0.007719*1064</f>
        <v>8.2130159999999997</v>
      </c>
    </row>
    <row r="17" spans="2:16" s="3" customFormat="1" ht="13">
      <c r="B17" s="15" t="s">
        <v>64</v>
      </c>
      <c r="D17" s="4" t="s">
        <v>65</v>
      </c>
      <c r="E17" s="21">
        <v>50.274000000000001</v>
      </c>
      <c r="F17" s="22">
        <v>50.274000000000001</v>
      </c>
      <c r="G17" s="21">
        <v>50.274000000000001</v>
      </c>
      <c r="H17" s="22"/>
      <c r="I17" s="21">
        <v>50.274000000000001</v>
      </c>
      <c r="J17" s="21">
        <v>50.274000000000001</v>
      </c>
      <c r="K17" s="21">
        <v>50.274000000000001</v>
      </c>
      <c r="L17" s="21">
        <v>50.274000000000001</v>
      </c>
      <c r="M17" s="21">
        <v>50.274000000000001</v>
      </c>
      <c r="N17" s="21">
        <v>50.274000000000001</v>
      </c>
    </row>
    <row r="18" spans="2:16" s="3" customFormat="1" ht="13">
      <c r="B18" s="15"/>
      <c r="D18" s="4"/>
      <c r="E18" s="21"/>
      <c r="F18" s="22"/>
      <c r="G18" s="21"/>
      <c r="H18" s="22"/>
      <c r="I18" s="21"/>
      <c r="J18" s="21"/>
      <c r="K18" s="21"/>
      <c r="L18" s="21"/>
      <c r="M18" s="21"/>
      <c r="N18" s="21"/>
    </row>
    <row r="19" spans="2:16" s="3" customFormat="1" ht="26">
      <c r="B19" s="15" t="s">
        <v>66</v>
      </c>
      <c r="D19" s="4" t="s">
        <v>65</v>
      </c>
      <c r="E19" s="21">
        <f>((E17)^2)/((8*(E14+E15)*1000))+(2*E16*0.000001)</f>
        <v>-4.9320937773006189E-2</v>
      </c>
      <c r="F19" s="22">
        <f t="shared" ref="F19:G19" si="0">((F17)^2)/((8*(F14+F15)*1000))+(2*F16*0.000001)</f>
        <v>-4.9318043693006193E-2</v>
      </c>
      <c r="G19" s="21">
        <f t="shared" si="0"/>
        <v>-4.9323668356781154E-2</v>
      </c>
      <c r="H19" s="22"/>
      <c r="I19" s="21">
        <f t="shared" ref="I19:N19" si="1">((I17)^2)/((8*(I14+I15)*1000))+(2*I16*0.000001)</f>
        <v>-4.929622342815404E-2</v>
      </c>
      <c r="J19" s="21">
        <f t="shared" si="1"/>
        <v>-4.9345754013163809E-2</v>
      </c>
      <c r="K19" s="21">
        <f t="shared" si="1"/>
        <v>-4.9336348649538467E-2</v>
      </c>
      <c r="L19" s="21">
        <f t="shared" si="1"/>
        <v>-4.9305536518889886E-2</v>
      </c>
      <c r="M19" s="21">
        <f t="shared" si="1"/>
        <v>-4.9323650973006193E-2</v>
      </c>
      <c r="N19" s="21">
        <f t="shared" si="1"/>
        <v>-4.9315639053006191E-2</v>
      </c>
    </row>
    <row r="20" spans="2:16" s="3" customFormat="1" ht="13">
      <c r="B20" s="15"/>
      <c r="D20" s="4"/>
      <c r="E20" s="21"/>
      <c r="F20" s="22"/>
      <c r="G20" s="21"/>
      <c r="H20" s="22"/>
      <c r="I20" s="21"/>
      <c r="J20" s="21"/>
      <c r="K20" s="21"/>
      <c r="L20" s="21"/>
      <c r="M20" s="21"/>
      <c r="N20" s="21"/>
    </row>
    <row r="21" spans="2:16" s="3" customFormat="1" ht="13">
      <c r="B21" s="25" t="s">
        <v>67</v>
      </c>
      <c r="D21" s="7" t="s">
        <v>58</v>
      </c>
      <c r="E21" s="26">
        <f>(E17^2)/(8*E19*1000)</f>
        <v>-6.4056848625638638</v>
      </c>
      <c r="F21" s="27">
        <f t="shared" ref="F21:G21" si="2">(F17^2)/(8*F19*1000)</f>
        <v>-6.4060607607759339</v>
      </c>
      <c r="G21" s="26">
        <f t="shared" si="2"/>
        <v>-6.4053302405388601</v>
      </c>
      <c r="H21" s="27"/>
      <c r="I21" s="26">
        <f t="shared" ref="I21:M21" si="3">(I17^2)/(8*I19*1000)</f>
        <v>-6.4088963115085944</v>
      </c>
      <c r="J21" s="26">
        <f t="shared" si="3"/>
        <v>-6.4024634098350033</v>
      </c>
      <c r="K21" s="26">
        <f t="shared" si="3"/>
        <v>-6.4036839601618052</v>
      </c>
      <c r="L21" s="26">
        <f t="shared" si="3"/>
        <v>-6.4076857652478756</v>
      </c>
      <c r="M21" s="26">
        <f t="shared" si="3"/>
        <v>-6.4053324980525934</v>
      </c>
      <c r="N21" s="26">
        <f>(N17^2)/(8*N19*1000)</f>
        <v>-6.4063731215248483</v>
      </c>
    </row>
    <row r="22" spans="2:16" s="3" customFormat="1" ht="13">
      <c r="D22" s="4"/>
      <c r="E22" s="64">
        <f>(E21+F21+G21)/3</f>
        <v>-6.4056919546262199</v>
      </c>
      <c r="F22" s="65"/>
      <c r="G22" s="66"/>
      <c r="H22" s="9"/>
      <c r="I22" s="10">
        <f>I21-E21</f>
        <v>-3.2114489447305772E-3</v>
      </c>
      <c r="J22" s="11">
        <f>J21-E21</f>
        <v>3.221452728860541E-3</v>
      </c>
      <c r="K22" s="12">
        <f>K21-E21</f>
        <v>2.0009024020586352E-3</v>
      </c>
      <c r="L22" s="11">
        <f>L21-E21</f>
        <v>-2.0009026840117627E-3</v>
      </c>
      <c r="M22" s="12">
        <f>M21-E21</f>
        <v>3.523645112704088E-4</v>
      </c>
      <c r="N22" s="11">
        <f>N21-E21</f>
        <v>-6.8825896098445583E-4</v>
      </c>
    </row>
    <row r="23" spans="2:16" s="28" customFormat="1" ht="13">
      <c r="E23" s="29">
        <f>E21-E22</f>
        <v>7.0920623560510876E-6</v>
      </c>
      <c r="F23" s="29">
        <f>F21-E22</f>
        <v>-3.6880614971401826E-4</v>
      </c>
      <c r="G23" s="29">
        <f>G21-E22</f>
        <v>3.6171408735974353E-4</v>
      </c>
      <c r="H23" s="29"/>
      <c r="I23" s="67" t="s">
        <v>20</v>
      </c>
      <c r="J23" s="67"/>
      <c r="K23" s="67" t="s">
        <v>21</v>
      </c>
      <c r="L23" s="67"/>
      <c r="M23" s="67" t="s">
        <v>5</v>
      </c>
      <c r="N23" s="68"/>
      <c r="O23" s="3"/>
      <c r="P23" s="3"/>
    </row>
    <row r="24" spans="2:16" s="30" customFormat="1" ht="13">
      <c r="E24" s="69" t="s">
        <v>22</v>
      </c>
      <c r="F24" s="70"/>
      <c r="G24" s="71"/>
      <c r="H24" s="13"/>
      <c r="I24" s="69" t="s">
        <v>23</v>
      </c>
      <c r="J24" s="71"/>
      <c r="K24" s="69" t="s">
        <v>24</v>
      </c>
      <c r="L24" s="71"/>
      <c r="M24" s="69" t="s">
        <v>25</v>
      </c>
      <c r="N24" s="72"/>
      <c r="O24" s="3"/>
      <c r="P24" s="3"/>
    </row>
    <row r="25" spans="2:16" s="3" customFormat="1">
      <c r="I25" s="73" t="s">
        <v>6</v>
      </c>
      <c r="J25" s="74"/>
      <c r="K25" s="74"/>
      <c r="L25" s="74"/>
      <c r="M25" s="74"/>
      <c r="N25" s="75"/>
      <c r="O25" s="5"/>
    </row>
    <row r="26" spans="2:16" s="3" customFormat="1" ht="13">
      <c r="B26" s="31" t="s">
        <v>26</v>
      </c>
      <c r="C26" s="28"/>
      <c r="D26" s="32" t="s">
        <v>27</v>
      </c>
      <c r="E26" s="33">
        <v>-6.43</v>
      </c>
      <c r="F26" s="28"/>
      <c r="O26" s="5"/>
    </row>
    <row r="27" spans="2:16" s="3" customFormat="1" ht="13">
      <c r="B27" s="30"/>
      <c r="C27" s="30"/>
      <c r="D27" s="30" t="s">
        <v>28</v>
      </c>
      <c r="E27" s="34">
        <f>E26+0.03</f>
        <v>-6.3999999999999995</v>
      </c>
      <c r="F27" s="35" t="s">
        <v>29</v>
      </c>
      <c r="O27" s="5"/>
    </row>
    <row r="28" spans="2:16" s="3" customFormat="1" ht="13">
      <c r="D28" s="4"/>
      <c r="E28" s="36">
        <f>E26-0.03</f>
        <v>-6.46</v>
      </c>
      <c r="F28" s="35" t="s">
        <v>30</v>
      </c>
      <c r="M28" s="37"/>
      <c r="O28" s="5"/>
    </row>
    <row r="29" spans="2:16" s="3" customFormat="1" ht="20" customHeight="1">
      <c r="D29" s="4"/>
      <c r="E29" s="36"/>
      <c r="F29" s="35"/>
      <c r="I29" s="61" t="s">
        <v>45</v>
      </c>
      <c r="J29" s="62"/>
      <c r="K29" s="61" t="s">
        <v>46</v>
      </c>
      <c r="L29" s="63"/>
      <c r="M29" s="61" t="s">
        <v>31</v>
      </c>
      <c r="N29" s="76"/>
      <c r="O29" s="77"/>
      <c r="P29" s="78"/>
    </row>
    <row r="30" spans="2:16" s="3" customFormat="1" ht="22" customHeight="1">
      <c r="B30" s="3" t="s">
        <v>32</v>
      </c>
      <c r="D30" s="4"/>
      <c r="E30" s="79" t="s">
        <v>50</v>
      </c>
      <c r="F30" s="80"/>
      <c r="G30" s="81"/>
      <c r="I30" s="57" t="s">
        <v>51</v>
      </c>
      <c r="J30" s="58"/>
      <c r="K30" s="57" t="s">
        <v>52</v>
      </c>
      <c r="L30" s="58"/>
      <c r="M30" s="57"/>
      <c r="N30" s="82"/>
      <c r="O30" s="83"/>
      <c r="P30" s="84"/>
    </row>
    <row r="31" spans="2:16" s="3" customFormat="1" ht="26">
      <c r="B31" s="15"/>
      <c r="C31" s="15"/>
      <c r="D31" s="16"/>
      <c r="E31" s="17" t="s">
        <v>53</v>
      </c>
      <c r="F31" s="18" t="s">
        <v>54</v>
      </c>
      <c r="G31" s="17" t="s">
        <v>55</v>
      </c>
      <c r="I31" s="17" t="s">
        <v>38</v>
      </c>
      <c r="J31" s="38" t="s">
        <v>39</v>
      </c>
      <c r="K31" s="20" t="s">
        <v>40</v>
      </c>
      <c r="L31" s="39" t="s">
        <v>56</v>
      </c>
      <c r="M31" s="20" t="s">
        <v>41</v>
      </c>
      <c r="N31" s="20" t="s">
        <v>42</v>
      </c>
      <c r="O31" s="20" t="s">
        <v>43</v>
      </c>
      <c r="P31" s="20" t="s">
        <v>44</v>
      </c>
    </row>
    <row r="32" spans="2:16" s="3" customFormat="1" ht="13">
      <c r="B32" s="15" t="s">
        <v>57</v>
      </c>
      <c r="C32" s="3" t="s">
        <v>33</v>
      </c>
      <c r="D32" s="4" t="s">
        <v>58</v>
      </c>
      <c r="E32" s="21">
        <v>-6.4988599999999996</v>
      </c>
      <c r="F32" s="22">
        <v>-6.4988599999999996</v>
      </c>
      <c r="G32" s="21">
        <v>-6.4988599999999996</v>
      </c>
      <c r="I32" s="21">
        <v>-6.5020699999999998</v>
      </c>
      <c r="J32" s="40">
        <v>-6.4956399999999999</v>
      </c>
      <c r="K32" s="21">
        <v>-6.4988599999999996</v>
      </c>
      <c r="L32" s="22">
        <v>-6.4988599999999996</v>
      </c>
      <c r="M32" s="41">
        <v>-6.4988599999999996</v>
      </c>
      <c r="N32" s="41">
        <v>-6.4988599999999996</v>
      </c>
      <c r="O32" s="41">
        <v>-6.4988599999999996</v>
      </c>
      <c r="P32" s="41">
        <v>-6.4988599999999996</v>
      </c>
    </row>
    <row r="33" spans="2:16" s="3" customFormat="1" ht="26">
      <c r="B33" s="15" t="s">
        <v>59</v>
      </c>
      <c r="C33" s="3" t="s">
        <v>60</v>
      </c>
      <c r="D33" s="4" t="s">
        <v>58</v>
      </c>
      <c r="E33" s="21">
        <f>0.09+0.00462</f>
        <v>9.4619999999999996E-2</v>
      </c>
      <c r="F33" s="22">
        <f>0.09+0.00462</f>
        <v>9.4619999999999996E-2</v>
      </c>
      <c r="G33" s="21">
        <f>0.0907+0.00462</f>
        <v>9.5320000000000002E-2</v>
      </c>
      <c r="I33" s="21">
        <f>0.09+0.00462</f>
        <v>9.4619999999999996E-2</v>
      </c>
      <c r="J33" s="40">
        <f>0.09+0.00462</f>
        <v>9.4619999999999996E-2</v>
      </c>
      <c r="K33" s="21">
        <f>0.09+0.00462+0.002</f>
        <v>9.6619999999999998E-2</v>
      </c>
      <c r="L33" s="40">
        <f>0.09+0.00462-0.002</f>
        <v>9.2619999999999994E-2</v>
      </c>
      <c r="M33" s="41">
        <f>0.09+0.00462</f>
        <v>9.4619999999999996E-2</v>
      </c>
      <c r="N33" s="41">
        <f>0.09+0.00462</f>
        <v>9.4619999999999996E-2</v>
      </c>
      <c r="O33" s="41">
        <f>0.09+0.00462</f>
        <v>9.4619999999999996E-2</v>
      </c>
      <c r="P33" s="41">
        <f>0.09+0.00462</f>
        <v>9.4619999999999996E-2</v>
      </c>
    </row>
    <row r="34" spans="2:16" s="3" customFormat="1" ht="13">
      <c r="B34" s="15" t="s">
        <v>61</v>
      </c>
      <c r="C34" s="3" t="s">
        <v>62</v>
      </c>
      <c r="D34" s="4" t="s">
        <v>63</v>
      </c>
      <c r="E34" s="23">
        <f>0.000629*1064</f>
        <v>0.66925599999999996</v>
      </c>
      <c r="F34" s="24">
        <f>0.000528*1064</f>
        <v>0.56179200000000007</v>
      </c>
      <c r="G34" s="23">
        <f>0.00041*1064</f>
        <v>0.43624000000000002</v>
      </c>
      <c r="I34" s="23">
        <f>0.000629*1064</f>
        <v>0.66925599999999996</v>
      </c>
      <c r="J34" s="42">
        <f>0.000629*1064</f>
        <v>0.66925599999999996</v>
      </c>
      <c r="K34" s="23">
        <f>0.000629*1064</f>
        <v>0.66925599999999996</v>
      </c>
      <c r="L34" s="42">
        <f>0.000629*1064</f>
        <v>0.66925599999999996</v>
      </c>
      <c r="M34" s="43">
        <f>(0.001142)*1064</f>
        <v>1.2150879999999999</v>
      </c>
      <c r="N34" s="43">
        <f>(0.001256)*1064</f>
        <v>1.336384</v>
      </c>
      <c r="O34" s="43">
        <f>(0.001434)*1064</f>
        <v>1.525776</v>
      </c>
      <c r="P34" s="43">
        <f>(0.000765)*1064</f>
        <v>0.81395999999999991</v>
      </c>
    </row>
    <row r="35" spans="2:16" s="3" customFormat="1" ht="13">
      <c r="B35" s="15" t="s">
        <v>64</v>
      </c>
      <c r="D35" s="4" t="s">
        <v>65</v>
      </c>
      <c r="E35" s="21">
        <v>25.22</v>
      </c>
      <c r="F35" s="22">
        <v>25.22</v>
      </c>
      <c r="G35" s="21">
        <v>25.22</v>
      </c>
      <c r="I35" s="21">
        <v>25.22</v>
      </c>
      <c r="J35" s="40">
        <v>25.22</v>
      </c>
      <c r="K35" s="21">
        <v>25.22</v>
      </c>
      <c r="L35" s="40">
        <v>25.22</v>
      </c>
      <c r="M35" s="41">
        <v>25.22</v>
      </c>
      <c r="N35" s="41">
        <v>25.22</v>
      </c>
      <c r="O35" s="41">
        <v>25.22</v>
      </c>
      <c r="P35" s="41">
        <v>25.22</v>
      </c>
    </row>
    <row r="36" spans="2:16" s="3" customFormat="1" ht="13">
      <c r="B36" s="15"/>
      <c r="D36" s="4"/>
      <c r="E36" s="21"/>
      <c r="F36" s="22"/>
      <c r="G36" s="21"/>
      <c r="I36" s="21"/>
      <c r="J36" s="40"/>
      <c r="K36" s="21"/>
      <c r="L36" s="40"/>
      <c r="M36" s="41"/>
      <c r="N36" s="41"/>
      <c r="O36" s="41"/>
      <c r="P36" s="41"/>
    </row>
    <row r="37" spans="2:16" s="3" customFormat="1" ht="26">
      <c r="B37" s="15" t="s">
        <v>66</v>
      </c>
      <c r="D37" s="4" t="s">
        <v>65</v>
      </c>
      <c r="E37" s="21">
        <f>((E35)^2)/((8*(E32+E33)*1000))+(2*E34*0.000001)</f>
        <v>-1.2413257130886587E-2</v>
      </c>
      <c r="F37" s="22">
        <f>((F35)^2)/((8*(F32+F33)*1000))+(2*F34*0.000001)</f>
        <v>-1.2413472058886587E-2</v>
      </c>
      <c r="G37" s="21">
        <f>((G35)^2)/((8*(G32+G33)*1000))+(2*G34*0.000001)</f>
        <v>-1.2415080258641437E-2</v>
      </c>
      <c r="I37" s="21">
        <f t="shared" ref="I37:P37" si="4">((I35)^2)/((8*(I32+I33)*1000))+(2*I34*0.000001)</f>
        <v>-1.2407037675094709E-2</v>
      </c>
      <c r="J37" s="40">
        <f t="shared" si="4"/>
        <v>-1.2419502229006901E-2</v>
      </c>
      <c r="K37" s="21">
        <f t="shared" si="4"/>
        <v>-1.241713533465367E-2</v>
      </c>
      <c r="L37" s="40">
        <f t="shared" si="4"/>
        <v>-1.2409381348635879E-2</v>
      </c>
      <c r="M37" s="41">
        <f t="shared" si="4"/>
        <v>-1.2412165466886586E-2</v>
      </c>
      <c r="N37" s="41">
        <f t="shared" si="4"/>
        <v>-1.2411922874886586E-2</v>
      </c>
      <c r="O37" s="41">
        <f t="shared" si="4"/>
        <v>-1.2411544090886586E-2</v>
      </c>
      <c r="P37" s="41">
        <f t="shared" si="4"/>
        <v>-1.2412967722886586E-2</v>
      </c>
    </row>
    <row r="38" spans="2:16" s="3" customFormat="1" ht="13">
      <c r="B38" s="15"/>
      <c r="D38" s="4"/>
      <c r="E38" s="21"/>
      <c r="F38" s="22"/>
      <c r="G38" s="21"/>
      <c r="I38" s="21"/>
      <c r="J38" s="40"/>
      <c r="K38" s="21"/>
      <c r="L38" s="40"/>
      <c r="M38" s="41"/>
      <c r="N38" s="41"/>
      <c r="O38" s="41"/>
      <c r="P38" s="41"/>
    </row>
    <row r="39" spans="2:16" s="3" customFormat="1" ht="13">
      <c r="B39" s="25" t="s">
        <v>67</v>
      </c>
      <c r="D39" s="7" t="s">
        <v>58</v>
      </c>
      <c r="E39" s="26">
        <f>(E35^2)/(8*E37*1000)</f>
        <v>-6.4049305642894918</v>
      </c>
      <c r="F39" s="27">
        <f>(F35^2)/(8*F37*1000)</f>
        <v>-6.4048196687310384</v>
      </c>
      <c r="G39" s="26">
        <f>(G35^2)/(8*G37*1000)</f>
        <v>-6.4039900140524919</v>
      </c>
      <c r="I39" s="26">
        <f t="shared" ref="I39:P39" si="5">(I35^2)/(8*I37*1000)</f>
        <v>-6.408141256764023</v>
      </c>
      <c r="J39" s="44">
        <f t="shared" si="5"/>
        <v>-6.4017098700064023</v>
      </c>
      <c r="K39" s="26">
        <f t="shared" si="5"/>
        <v>-6.4029301330166675</v>
      </c>
      <c r="L39" s="45">
        <f t="shared" si="5"/>
        <v>-6.4069309956970431</v>
      </c>
      <c r="M39" s="46">
        <f t="shared" si="5"/>
        <v>-6.4054938851812571</v>
      </c>
      <c r="N39" s="46">
        <f t="shared" si="5"/>
        <v>-6.4056190810585001</v>
      </c>
      <c r="O39" s="46">
        <f t="shared" si="5"/>
        <v>-6.4058145721271558</v>
      </c>
      <c r="P39" s="46">
        <f t="shared" si="5"/>
        <v>-6.4050798950688943</v>
      </c>
    </row>
    <row r="40" spans="2:16" s="3" customFormat="1" ht="13">
      <c r="D40" s="4"/>
      <c r="E40" s="89">
        <f>(E39+F39+G39)/3</f>
        <v>-6.4045800823576746</v>
      </c>
      <c r="F40" s="90"/>
      <c r="G40" s="91"/>
      <c r="I40" s="10">
        <f>I39-E39</f>
        <v>-3.2106924745312071E-3</v>
      </c>
      <c r="J40" s="11">
        <f>J39-E39</f>
        <v>3.2206942830894647E-3</v>
      </c>
      <c r="K40" s="12">
        <f>K39-E39</f>
        <v>2.0004312728243434E-3</v>
      </c>
      <c r="L40" s="11">
        <f>L39-E39</f>
        <v>-2.0004314075512397E-3</v>
      </c>
      <c r="M40" s="10">
        <f>M39-E39</f>
        <v>-5.6332089176525102E-4</v>
      </c>
      <c r="N40" s="12">
        <f>N39-E39</f>
        <v>-6.8851676900827385E-4</v>
      </c>
      <c r="O40" s="12">
        <f>O39-E39</f>
        <v>-8.8400783766395818E-4</v>
      </c>
      <c r="P40" s="11">
        <f>P39-E39</f>
        <v>-1.4933077940249007E-4</v>
      </c>
    </row>
    <row r="41" spans="2:16" s="3" customFormat="1" ht="14" customHeight="1">
      <c r="D41" s="4"/>
      <c r="E41" s="29">
        <f>E39-E40</f>
        <v>-3.5048193181719256E-4</v>
      </c>
      <c r="F41" s="29">
        <f>F39-E40</f>
        <v>-2.3958637336374267E-4</v>
      </c>
      <c r="G41" s="29">
        <f>G39-E40</f>
        <v>5.9006830518271158E-4</v>
      </c>
      <c r="I41" s="67" t="s">
        <v>20</v>
      </c>
      <c r="J41" s="67"/>
      <c r="K41" s="67" t="s">
        <v>21</v>
      </c>
      <c r="L41" s="67"/>
      <c r="M41" s="92" t="s">
        <v>14</v>
      </c>
      <c r="N41" s="93"/>
      <c r="O41" s="93"/>
      <c r="P41" s="93"/>
    </row>
    <row r="42" spans="2:16" s="3" customFormat="1" ht="13">
      <c r="D42" s="4"/>
      <c r="E42" s="69" t="s">
        <v>34</v>
      </c>
      <c r="F42" s="70"/>
      <c r="G42" s="71"/>
      <c r="I42" s="94" t="s">
        <v>23</v>
      </c>
      <c r="J42" s="95"/>
      <c r="K42" s="94" t="s">
        <v>24</v>
      </c>
      <c r="L42" s="95"/>
      <c r="M42" s="69" t="s">
        <v>35</v>
      </c>
      <c r="N42" s="70"/>
      <c r="O42" s="68"/>
      <c r="P42" s="96"/>
    </row>
    <row r="43" spans="2:16" s="3" customFormat="1" ht="13">
      <c r="D43" s="4"/>
      <c r="I43" s="85" t="s">
        <v>36</v>
      </c>
      <c r="J43" s="86"/>
      <c r="K43" s="86"/>
      <c r="L43" s="86"/>
      <c r="M43" s="86"/>
      <c r="N43" s="86"/>
      <c r="O43" s="87"/>
      <c r="P43" s="88"/>
    </row>
    <row r="44" spans="2:16" s="3" customFormat="1" ht="13">
      <c r="D44" s="4"/>
      <c r="K44" s="47"/>
      <c r="L44" s="47"/>
      <c r="M44" s="47"/>
      <c r="N44" s="47"/>
      <c r="O44" s="5"/>
    </row>
    <row r="45" spans="2:16" s="3" customFormat="1" ht="13">
      <c r="D45" s="4"/>
      <c r="K45" s="47"/>
      <c r="L45" s="48"/>
      <c r="M45" s="48"/>
      <c r="N45" s="47"/>
      <c r="O45" s="5"/>
    </row>
    <row r="46" spans="2:16" s="3" customFormat="1" ht="13">
      <c r="D46" s="4"/>
      <c r="O46" s="5"/>
    </row>
    <row r="47" spans="2:16" s="3" customFormat="1" ht="13">
      <c r="D47" s="4"/>
      <c r="O47" s="5"/>
    </row>
    <row r="48" spans="2:16" s="3" customFormat="1" ht="13">
      <c r="D48" s="4"/>
      <c r="O48" s="5"/>
    </row>
    <row r="49" spans="4:15" s="3" customFormat="1" ht="13">
      <c r="D49" s="4"/>
      <c r="O49" s="5"/>
    </row>
    <row r="50" spans="4:15" s="3" customFormat="1" ht="13">
      <c r="D50" s="4"/>
      <c r="O50" s="5"/>
    </row>
    <row r="51" spans="4:15" s="3" customFormat="1" ht="13">
      <c r="D51" s="4"/>
      <c r="O51" s="5"/>
    </row>
    <row r="52" spans="4:15" s="3" customFormat="1" ht="13">
      <c r="D52" s="4"/>
      <c r="O52" s="5"/>
    </row>
    <row r="53" spans="4:15" s="3" customFormat="1" ht="13">
      <c r="D53" s="4"/>
      <c r="O53" s="5"/>
    </row>
    <row r="54" spans="4:15" s="3" customFormat="1" ht="13">
      <c r="D54" s="4"/>
      <c r="O54" s="5"/>
    </row>
    <row r="55" spans="4:15" s="3" customFormat="1" ht="13">
      <c r="D55" s="4"/>
      <c r="O55" s="5"/>
    </row>
    <row r="56" spans="4:15" s="3" customFormat="1" ht="13">
      <c r="D56" s="4"/>
      <c r="O56" s="5"/>
    </row>
  </sheetData>
  <sheetCalcPr fullCalcOnLoad="1"/>
  <mergeCells count="34">
    <mergeCell ref="I43:P43"/>
    <mergeCell ref="E40:G40"/>
    <mergeCell ref="I41:J41"/>
    <mergeCell ref="K41:L41"/>
    <mergeCell ref="M41:P41"/>
    <mergeCell ref="E42:G42"/>
    <mergeCell ref="I42:J42"/>
    <mergeCell ref="K42:L42"/>
    <mergeCell ref="M42:P42"/>
    <mergeCell ref="I25:N25"/>
    <mergeCell ref="I29:J29"/>
    <mergeCell ref="K29:L29"/>
    <mergeCell ref="M29:P29"/>
    <mergeCell ref="E30:G30"/>
    <mergeCell ref="I30:J30"/>
    <mergeCell ref="K30:L30"/>
    <mergeCell ref="M30:P30"/>
    <mergeCell ref="E22:G22"/>
    <mergeCell ref="I23:J23"/>
    <mergeCell ref="K23:L23"/>
    <mergeCell ref="M23:N23"/>
    <mergeCell ref="E24:G24"/>
    <mergeCell ref="I24:J24"/>
    <mergeCell ref="K24:L24"/>
    <mergeCell ref="M24:N24"/>
    <mergeCell ref="E12:G12"/>
    <mergeCell ref="I12:J12"/>
    <mergeCell ref="K12:L12"/>
    <mergeCell ref="M12:N12"/>
    <mergeCell ref="B8:N8"/>
    <mergeCell ref="B9:N9"/>
    <mergeCell ref="I11:J11"/>
    <mergeCell ref="K11:L11"/>
    <mergeCell ref="M11:N11"/>
  </mergeCells>
  <phoneticPr fontId="2" type="noConversion"/>
  <printOptions horizontalCentered="1"/>
  <pageMargins left="0.2" right="0.2"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SR2-04 (second check 3Sep13)</vt:lpstr>
    </vt:vector>
  </TitlesOfParts>
  <Company>University of Florida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Rodica Martin</dc:creator>
  <cp:lastModifiedBy>Rodica Martin</cp:lastModifiedBy>
  <cp:lastPrinted>2013-09-05T15:00:19Z</cp:lastPrinted>
  <dcterms:created xsi:type="dcterms:W3CDTF">2013-07-26T20:26:06Z</dcterms:created>
  <dcterms:modified xsi:type="dcterms:W3CDTF">2013-09-05T15:26:36Z</dcterms:modified>
</cp:coreProperties>
</file>