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<sst xmlns="http://schemas.openxmlformats.org/spreadsheetml/2006/main" count="225" uniqueCount="108">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</sst>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35196478"/>
        <c:axId val="48332847"/>
      </c:barChart>
      <c:catAx>
        <c:axId val="3519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2847"/>
        <c:crosses val="autoZero"/>
        <c:auto val="1"/>
        <c:lblOffset val="100"/>
        <c:tickLblSkip val="1"/>
        <c:noMultiLvlLbl val="0"/>
      </c:catAx>
      <c:valAx>
        <c:axId val="4833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32342440"/>
        <c:axId val="22646505"/>
      </c:scatterChart>
      <c:valAx>
        <c:axId val="3234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6505"/>
        <c:crosses val="autoZero"/>
        <c:crossBetween val="midCat"/>
        <c:dispUnits/>
      </c:valAx>
      <c:valAx>
        <c:axId val="226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2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9">
      <selection activeCell="I49" sqref="I49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72</v>
      </c>
      <c r="H1" s="37"/>
    </row>
    <row r="2" spans="1:8" ht="12.75">
      <c r="A2" t="s">
        <v>105</v>
      </c>
      <c r="G2" s="38" t="s">
        <v>68</v>
      </c>
      <c r="H2" s="39"/>
    </row>
    <row r="3" spans="1:11" ht="13.5" thickBot="1">
      <c r="A3" t="s">
        <v>103</v>
      </c>
      <c r="G3" s="40" t="s">
        <v>69</v>
      </c>
      <c r="H3" s="41"/>
      <c r="K3" t="s">
        <v>93</v>
      </c>
    </row>
    <row r="4" spans="1:17" ht="12.75">
      <c r="A4" s="4" t="s">
        <v>104</v>
      </c>
      <c r="Q4" s="4"/>
    </row>
    <row r="5" spans="1:17" ht="12.75">
      <c r="A5" s="4" t="s">
        <v>64</v>
      </c>
      <c r="K5" t="s">
        <v>94</v>
      </c>
      <c r="Q5" s="4"/>
    </row>
    <row r="6" spans="1:17" ht="12.75">
      <c r="A6" s="26" t="s">
        <v>65</v>
      </c>
      <c r="Q6" s="4"/>
    </row>
    <row r="7" spans="1:17" ht="12.75">
      <c r="A7" s="18" t="s">
        <v>66</v>
      </c>
      <c r="G7" s="18"/>
      <c r="K7" t="s">
        <v>90</v>
      </c>
      <c r="L7">
        <v>140</v>
      </c>
      <c r="M7" t="s">
        <v>57</v>
      </c>
      <c r="Q7" s="4"/>
    </row>
    <row r="8" spans="1:14" ht="22.5">
      <c r="A8" s="36"/>
      <c r="H8" s="24"/>
      <c r="K8" t="s">
        <v>95</v>
      </c>
      <c r="L8" s="70">
        <f>G39*10</f>
        <v>59.77471292074378</v>
      </c>
      <c r="M8" t="s">
        <v>57</v>
      </c>
      <c r="N8" s="3"/>
    </row>
    <row r="9" spans="4:13" ht="12.75">
      <c r="D9" s="2"/>
      <c r="L9" s="3"/>
      <c r="M9" s="71" t="s">
        <v>97</v>
      </c>
    </row>
    <row r="10" spans="1:13" ht="12.75">
      <c r="A10" t="s">
        <v>32</v>
      </c>
      <c r="J10" t="s">
        <v>91</v>
      </c>
      <c r="K10" t="s">
        <v>57</v>
      </c>
      <c r="L10" t="s">
        <v>96</v>
      </c>
      <c r="M10" t="s">
        <v>57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2.9</v>
      </c>
      <c r="C12" s="3" t="s">
        <v>57</v>
      </c>
      <c r="D12">
        <f>B12/1000</f>
        <v>0.0029</v>
      </c>
      <c r="E12" t="s">
        <v>11</v>
      </c>
      <c r="F12" t="s">
        <v>14</v>
      </c>
      <c r="G12" s="5">
        <f>(B18+B19+B20)/B21</f>
        <v>27.29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32.5</v>
      </c>
      <c r="C13" s="3" t="s">
        <v>7</v>
      </c>
      <c r="D13">
        <f>B13/100</f>
        <v>0.325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5">
        <f>G12*9.81</f>
        <v>267.7149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6">
        <f>D14*D12^3/12</f>
        <v>1.2702604166666664E-10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5">
        <f>B24*G14*(D13^3)/(3*B23*G15)*100</f>
        <v>17.633339549955764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20.98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20.98</v>
      </c>
      <c r="C20" s="3" t="s">
        <v>15</v>
      </c>
      <c r="F20" s="35" t="s">
        <v>8</v>
      </c>
      <c r="G20" s="72">
        <f>1/(2*PI())*((B23*D14*D12^3)/(4*G13*D13^3*B24))^0.5</f>
        <v>2.4687347960446036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6">
        <f>(6*G14*D13)/(D14*D12^2)/1000000</f>
        <v>993.1872627824022</v>
      </c>
      <c r="H22" s="28" t="s">
        <v>12</v>
      </c>
      <c r="J22" s="74">
        <v>138</v>
      </c>
      <c r="K22" s="74"/>
      <c r="L22" s="74"/>
      <c r="M22" s="74">
        <f>J22*(1-COS($L$7/J22))</f>
        <v>65.12899517741131</v>
      </c>
      <c r="O22" s="10"/>
      <c r="P22" s="74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30"/>
      <c r="I23" s="4"/>
      <c r="J23" s="73">
        <v>147</v>
      </c>
      <c r="K23" s="73"/>
      <c r="L23" s="73"/>
      <c r="M23" s="73">
        <f t="shared" si="0"/>
        <v>61.777523374338315</v>
      </c>
      <c r="O23" s="10"/>
      <c r="P23" s="74"/>
    </row>
    <row r="24" spans="1:15" ht="13.5" thickBot="1">
      <c r="A24" t="s">
        <v>3</v>
      </c>
      <c r="B24" s="3">
        <v>1.36</v>
      </c>
      <c r="C24" s="4" t="s">
        <v>101</v>
      </c>
      <c r="F24" s="31" t="s">
        <v>36</v>
      </c>
      <c r="G24" s="32">
        <v>1000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106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67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6">
        <f>D12/F28*(F27/D13)^2*F29</f>
        <v>103.36355029585798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51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2</v>
      </c>
      <c r="C34" s="3" t="s">
        <v>57</v>
      </c>
      <c r="D34">
        <f>B34/1000</f>
        <v>0.002</v>
      </c>
      <c r="E34" t="s">
        <v>11</v>
      </c>
      <c r="F34" t="s">
        <v>14</v>
      </c>
      <c r="G34" s="5">
        <f>(B38+B39)/B40</f>
        <v>10.49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16</v>
      </c>
      <c r="C35" s="3" t="s">
        <v>7</v>
      </c>
      <c r="D35">
        <f>B35/100</f>
        <v>0.16</v>
      </c>
      <c r="E35" t="s">
        <v>11</v>
      </c>
      <c r="F35" t="s">
        <v>9</v>
      </c>
      <c r="G35" s="5">
        <f>B38/B40</f>
        <v>5.245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7">
        <f>G34*9.81</f>
        <v>102.90690000000001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8">
        <f>D36*D34^3/12</f>
        <v>1.7186666666666666E-11</v>
      </c>
      <c r="J37" s="74">
        <v>283.5</v>
      </c>
      <c r="K37" s="74"/>
      <c r="L37" s="74"/>
      <c r="M37" s="74">
        <f t="shared" si="3"/>
        <v>33.87109435389847</v>
      </c>
    </row>
    <row r="38" spans="1:13" ht="13.5" thickBot="1">
      <c r="A38" t="s">
        <v>30</v>
      </c>
      <c r="B38" s="3">
        <v>20.98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20.98</v>
      </c>
      <c r="C39" s="3" t="s">
        <v>15</v>
      </c>
      <c r="F39" s="6" t="s">
        <v>13</v>
      </c>
      <c r="G39" s="42">
        <f>B42*G36*(D35^3)/(3*B41*G37)*100</f>
        <v>5.977471292074378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7">
        <f>1/(2*PI())*((B41*D36*D34^3)/(4*G35*D35^3*B42))^0.5</f>
        <v>2.8834397664557065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101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107</v>
      </c>
      <c r="F43" s="9" t="s">
        <v>16</v>
      </c>
      <c r="G43" s="46">
        <f>(6*G36*D35)/(D36*D34^2)/1000000</f>
        <v>958.0161365399537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102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6">
        <f>D34/F49*(F48/D35)^2*F50</f>
        <v>294.12109375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82</v>
      </c>
    </row>
    <row r="57" ht="12.75">
      <c r="H57" t="s">
        <v>78</v>
      </c>
    </row>
    <row r="58" spans="1:6" ht="12.75">
      <c r="A58" s="16" t="s">
        <v>50</v>
      </c>
      <c r="E58" t="s">
        <v>80</v>
      </c>
      <c r="F58" t="s">
        <v>81</v>
      </c>
    </row>
    <row r="59" spans="1:7" ht="12.75">
      <c r="G59" t="s">
        <v>79</v>
      </c>
    </row>
    <row r="60" spans="1:6" ht="12.75">
      <c r="F60" s="2"/>
    </row>
    <row r="61" spans="1:8" ht="12.75">
      <c r="A61" t="s">
        <v>55</v>
      </c>
      <c r="B61" s="3">
        <v>75</v>
      </c>
      <c r="C61" s="3" t="s">
        <v>57</v>
      </c>
      <c r="D61">
        <f>B61/1000</f>
        <v>0.075</v>
      </c>
      <c r="E61" s="10"/>
      <c r="F61" s="10" t="s">
        <v>46</v>
      </c>
      <c r="G61" s="52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57</v>
      </c>
      <c r="D62">
        <f>B62/1000</f>
        <v>0.075</v>
      </c>
      <c r="E62" s="10"/>
      <c r="F62" s="10" t="s">
        <v>47</v>
      </c>
      <c r="G62" s="51">
        <f>G61*D61^2/2</f>
        <v>0.008208116438665761</v>
      </c>
    </row>
    <row r="63" spans="1:7" ht="12.75">
      <c r="A63" t="s">
        <v>54</v>
      </c>
      <c r="B63" s="3">
        <v>50</v>
      </c>
      <c r="C63" s="3" t="s">
        <v>57</v>
      </c>
      <c r="D63">
        <f>B63/1000</f>
        <v>0.05</v>
      </c>
      <c r="E63" s="10"/>
      <c r="F63" s="10" t="s">
        <v>48</v>
      </c>
      <c r="G63" s="51">
        <f>G61*(D61^2/4+D62^2/12)</f>
        <v>0.005472077625777174</v>
      </c>
    </row>
    <row r="64" spans="1:7" ht="12.75">
      <c r="A64" t="s">
        <v>70</v>
      </c>
      <c r="B64" s="3">
        <v>2202</v>
      </c>
      <c r="C64" s="27"/>
      <c r="F64" s="10" t="s">
        <v>49</v>
      </c>
      <c r="G64" s="51">
        <f>G63</f>
        <v>0.005472077625777174</v>
      </c>
    </row>
    <row r="65" ht="12.75"/>
    <row r="66" spans="1:3" ht="13.5" thickBot="1">
      <c r="A66" t="s">
        <v>71</v>
      </c>
      <c r="B66">
        <f>D63/2</f>
        <v>0.025</v>
      </c>
      <c r="C66" t="s">
        <v>11</v>
      </c>
    </row>
    <row r="67" spans="1:8" ht="12.75">
      <c r="A67" t="s">
        <v>56</v>
      </c>
      <c r="B67" s="53">
        <f>(D61^2-B66^2)^0.5</f>
        <v>0.07071067811865475</v>
      </c>
      <c r="C67" t="s">
        <v>11</v>
      </c>
      <c r="E67" s="25" t="s">
        <v>61</v>
      </c>
      <c r="F67" s="47">
        <f>1000*(D61-B67)</f>
        <v>4.289321881345246</v>
      </c>
      <c r="G67" s="29" t="s">
        <v>57</v>
      </c>
      <c r="H67" s="12"/>
    </row>
    <row r="68" spans="1:7" ht="13.5" thickBot="1">
      <c r="A68" t="s">
        <v>58</v>
      </c>
      <c r="B68" s="54">
        <f>ASIN(B66/D61)*180/PI()</f>
        <v>19.471220634490695</v>
      </c>
      <c r="E68" s="48" t="s">
        <v>88</v>
      </c>
      <c r="F68" s="49">
        <f>((2*B68*PI()*D61^2)/360-(B67*B66))*B64*1000*D62</f>
        <v>23.75115669706305</v>
      </c>
      <c r="G68" s="33" t="s">
        <v>59</v>
      </c>
    </row>
    <row r="70" ht="12.75">
      <c r="A70" s="4" t="s">
        <v>83</v>
      </c>
    </row>
    <row r="71" spans="1:5" ht="12.75">
      <c r="A71" s="4"/>
      <c r="D71" t="s">
        <v>47</v>
      </c>
      <c r="E71" s="61">
        <f>(B73/1000)*(D62^2+D63^2)/12</f>
        <v>1.62139453125E-05</v>
      </c>
    </row>
    <row r="72" spans="1:8" ht="12.75">
      <c r="A72" s="3" t="s">
        <v>62</v>
      </c>
      <c r="B72" s="3">
        <v>0.0029</v>
      </c>
      <c r="D72" t="s">
        <v>48</v>
      </c>
      <c r="E72">
        <f>(1/12*(B73/1000)*(B72^2+D63^2))+((B73/1000)*B74^2)</f>
        <v>0.00013454808759750001</v>
      </c>
      <c r="F72" s="64" t="s">
        <v>86</v>
      </c>
      <c r="G72" s="65" t="s">
        <v>87</v>
      </c>
      <c r="H72" s="12"/>
    </row>
    <row r="73" spans="1:7" ht="12.75">
      <c r="A73" s="63" t="s">
        <v>60</v>
      </c>
      <c r="B73" s="63">
        <f>B64*D63*D62*B72*1000</f>
        <v>23.946749999999998</v>
      </c>
      <c r="C73" t="s">
        <v>59</v>
      </c>
      <c r="D73" t="s">
        <v>49</v>
      </c>
      <c r="E73">
        <f>(1/12*(B73/1000)*(B72^2+D62^2))+((B73/1000)*B74^2)</f>
        <v>0.00014078422041000004</v>
      </c>
      <c r="G73" s="63" t="s">
        <v>88</v>
      </c>
    </row>
    <row r="74" spans="1:3" ht="12.75">
      <c r="A74" t="s">
        <v>63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92</v>
      </c>
      <c r="E76" s="25" t="s">
        <v>46</v>
      </c>
      <c r="F76" s="68">
        <f>G61-2*(F68/1000)</f>
        <v>2.870939087020367</v>
      </c>
      <c r="G76" s="29" t="s">
        <v>15</v>
      </c>
    </row>
    <row r="77" spans="1:8" ht="12.75">
      <c r="A77" s="4" t="s">
        <v>85</v>
      </c>
      <c r="E77" s="35" t="s">
        <v>47</v>
      </c>
      <c r="F77" s="44">
        <f>G62-2*E71</f>
        <v>0.00817568854804076</v>
      </c>
      <c r="G77" s="28"/>
      <c r="H77" s="12"/>
    </row>
    <row r="78" spans="5:7" ht="12.75">
      <c r="E78" s="35" t="s">
        <v>48</v>
      </c>
      <c r="F78" s="43">
        <f>G63-2*E72</f>
        <v>0.005202981450582174</v>
      </c>
      <c r="G78" s="11"/>
    </row>
    <row r="79" spans="5:7" ht="13.5" thickBot="1">
      <c r="E79" s="48" t="s">
        <v>49</v>
      </c>
      <c r="F79" s="59">
        <f>G64-2*E73</f>
        <v>0.005190509184957174</v>
      </c>
      <c r="G79" s="33"/>
    </row>
    <row r="80" spans="5:7" ht="12.75">
      <c r="E80" s="12"/>
      <c r="F80" s="43"/>
      <c r="G80" s="12"/>
    </row>
    <row r="81" spans="5:7" ht="12.75">
      <c r="E81" s="12"/>
      <c r="F81" s="43"/>
      <c r="G81" s="12"/>
    </row>
    <row r="82" spans="5:8" ht="12.75">
      <c r="E82" s="12"/>
      <c r="F82" s="10" t="s">
        <v>46</v>
      </c>
      <c r="G82" s="52">
        <f>G61</f>
        <v>2.9184414004144927</v>
      </c>
      <c r="H82" t="s">
        <v>15</v>
      </c>
    </row>
    <row r="83" spans="5:7" ht="12.75">
      <c r="E83" s="12"/>
      <c r="F83" s="10" t="s">
        <v>47</v>
      </c>
      <c r="G83" s="51">
        <f>G62</f>
        <v>0.008208116438665761</v>
      </c>
    </row>
    <row r="84" spans="5:7" ht="12.75">
      <c r="E84" s="12"/>
      <c r="F84" s="10" t="s">
        <v>48</v>
      </c>
      <c r="G84" s="51">
        <f>G63</f>
        <v>0.005472077625777174</v>
      </c>
    </row>
    <row r="85" spans="5:7" ht="12.75">
      <c r="E85" s="12"/>
      <c r="F85" s="10" t="s">
        <v>49</v>
      </c>
      <c r="G85" s="51">
        <f>G64</f>
        <v>0.005472077625777174</v>
      </c>
    </row>
    <row r="86" spans="1:7" ht="12.75">
      <c r="A86" s="16" t="s">
        <v>73</v>
      </c>
      <c r="B86" s="16" t="s">
        <v>44</v>
      </c>
      <c r="E86" s="12"/>
      <c r="F86" s="43"/>
      <c r="G86" s="12"/>
    </row>
    <row r="87" spans="1:8" ht="12.75">
      <c r="A87" s="10" t="s">
        <v>74</v>
      </c>
      <c r="B87" s="3">
        <v>75</v>
      </c>
      <c r="C87" s="21" t="s">
        <v>57</v>
      </c>
      <c r="D87" s="62">
        <f>B87/1000</f>
        <v>0.075</v>
      </c>
      <c r="E87" s="50"/>
      <c r="F87" s="10" t="s">
        <v>46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75</v>
      </c>
      <c r="B88" s="3">
        <v>32</v>
      </c>
      <c r="C88" s="21" t="s">
        <v>57</v>
      </c>
      <c r="D88" s="62">
        <f>B88/1000</f>
        <v>0.032</v>
      </c>
      <c r="E88" s="10"/>
      <c r="F88" s="10" t="s">
        <v>47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57</v>
      </c>
      <c r="D89" s="62">
        <f>B89/1000</f>
        <v>0.075</v>
      </c>
      <c r="E89" s="10"/>
      <c r="F89" s="10" t="s">
        <v>48</v>
      </c>
      <c r="G89" s="10">
        <f>B92*(D87^2/4+D89^2/12)-B93*(D88^2/4+D89^2/12)</f>
        <v>0.006237500353204881</v>
      </c>
      <c r="H89" s="10"/>
    </row>
    <row r="90" spans="1:7" ht="12.75">
      <c r="A90" t="s">
        <v>54</v>
      </c>
      <c r="B90" s="3">
        <v>50</v>
      </c>
      <c r="C90" s="21" t="s">
        <v>57</v>
      </c>
      <c r="D90" s="62">
        <f>B90/1000</f>
        <v>0.05</v>
      </c>
      <c r="E90" s="10"/>
      <c r="F90" s="10" t="s">
        <v>49</v>
      </c>
      <c r="G90" s="10">
        <f>G89</f>
        <v>0.006237500353204881</v>
      </c>
    </row>
    <row r="91" spans="1:10" ht="12.75">
      <c r="A91" s="10" t="s">
        <v>45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76</v>
      </c>
      <c r="B92" s="10">
        <f>B91*PI()*D87^2*D89</f>
        <v>3.5784703819796237</v>
      </c>
      <c r="C92" s="10" t="s">
        <v>15</v>
      </c>
      <c r="D92" s="10"/>
      <c r="E92" s="10"/>
      <c r="F92" s="12"/>
      <c r="G92" s="45"/>
      <c r="H92" s="12"/>
      <c r="I92" s="10">
        <v>2.92</v>
      </c>
      <c r="J92" s="10"/>
    </row>
    <row r="93" spans="1:10" ht="12.75">
      <c r="A93" t="s">
        <v>77</v>
      </c>
      <c r="B93" s="10">
        <f>B91*PI()*D88^2*D89</f>
        <v>0.6514406526483795</v>
      </c>
      <c r="C93" t="s">
        <v>15</v>
      </c>
      <c r="E93" s="25" t="s">
        <v>61</v>
      </c>
      <c r="F93" s="47">
        <f>1000*(D87-B96)</f>
        <v>4.289321881345246</v>
      </c>
      <c r="G93" s="29" t="s">
        <v>57</v>
      </c>
      <c r="I93" s="10">
        <v>2.92</v>
      </c>
      <c r="J93" s="10"/>
    </row>
    <row r="94" spans="1:10" ht="13.5" thickBot="1">
      <c r="A94" s="4" t="s">
        <v>83</v>
      </c>
      <c r="E94" s="48" t="s">
        <v>88</v>
      </c>
      <c r="F94" s="49">
        <f>((2*B97*PI()*D87^2)/360-(B96*B95))*B91*1000*D89</f>
        <v>29.122671699396108</v>
      </c>
      <c r="G94" s="33" t="s">
        <v>59</v>
      </c>
      <c r="I94" s="10">
        <f>I93+I92</f>
        <v>5.84</v>
      </c>
      <c r="J94" s="10"/>
    </row>
    <row r="95" spans="1:10" ht="12.75">
      <c r="A95" t="s">
        <v>71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56</v>
      </c>
      <c r="B96" s="53">
        <f>(D87^2-B95^2)^0.5</f>
        <v>0.07071067811865475</v>
      </c>
      <c r="C96" t="s">
        <v>11</v>
      </c>
      <c r="D96" t="s">
        <v>47</v>
      </c>
      <c r="E96" s="60">
        <f>(B99/1000)*(D89^2+D90^2)/12</f>
        <v>1.9880859375E-05</v>
      </c>
      <c r="I96" s="10"/>
      <c r="J96" s="10"/>
    </row>
    <row r="97" spans="1:10" ht="12.75">
      <c r="A97" t="s">
        <v>58</v>
      </c>
      <c r="B97" s="54">
        <f>ASIN(B95/D87)*180/PI()</f>
        <v>19.471220634490695</v>
      </c>
      <c r="D97" t="s">
        <v>48</v>
      </c>
      <c r="E97" s="60">
        <f>(1/12*(B99/1000)*(B98^2+D90^2))+((B99/1000)*B100^2)</f>
        <v>0.000164977219125</v>
      </c>
      <c r="I97" s="10"/>
      <c r="J97" s="10"/>
    </row>
    <row r="98" spans="1:10" ht="12.75">
      <c r="A98" s="3" t="s">
        <v>62</v>
      </c>
      <c r="B98" s="3">
        <v>0.0029</v>
      </c>
      <c r="D98" t="s">
        <v>49</v>
      </c>
      <c r="E98" s="60">
        <f>(1/12*(B99/1000)*(B98^2+D89^2))+((B99/1000)*B100^2)</f>
        <v>0.0001726237035</v>
      </c>
      <c r="F98" s="64" t="s">
        <v>86</v>
      </c>
      <c r="G98" s="65" t="s">
        <v>87</v>
      </c>
      <c r="H98" s="12"/>
      <c r="I98" s="10"/>
      <c r="J98" s="10"/>
    </row>
    <row r="99" spans="1:10" ht="13.5" thickBot="1">
      <c r="A99" s="63" t="s">
        <v>60</v>
      </c>
      <c r="B99" s="63">
        <f>D89*B91*D90*B98*1000</f>
        <v>29.3625</v>
      </c>
      <c r="C99" t="s">
        <v>59</v>
      </c>
      <c r="G99" s="63" t="s">
        <v>88</v>
      </c>
      <c r="I99" s="10"/>
      <c r="J99" s="10"/>
    </row>
    <row r="100" spans="1:10" ht="12.75">
      <c r="A100" t="s">
        <v>63</v>
      </c>
      <c r="B100">
        <f>D87-B98/2</f>
        <v>0.07355</v>
      </c>
      <c r="C100" t="s">
        <v>11</v>
      </c>
      <c r="E100" s="25" t="s">
        <v>46</v>
      </c>
      <c r="F100" s="69">
        <f>G87-2*(F94/1000)</f>
        <v>2.868784385932452</v>
      </c>
      <c r="G100" s="29" t="s">
        <v>15</v>
      </c>
      <c r="H100" s="55"/>
      <c r="I100" s="10"/>
      <c r="J100" s="10"/>
    </row>
    <row r="101" spans="5:10" ht="12.75">
      <c r="E101" s="35" t="s">
        <v>47</v>
      </c>
      <c r="F101" s="44">
        <f>G88-2*E96</f>
        <v>0.00969114861641172</v>
      </c>
      <c r="G101" s="28"/>
      <c r="I101" s="10"/>
      <c r="J101" s="10"/>
    </row>
    <row r="102" spans="1:10" ht="12.75">
      <c r="A102" s="4" t="s">
        <v>84</v>
      </c>
      <c r="E102" s="35" t="s">
        <v>48</v>
      </c>
      <c r="F102" s="43">
        <f>G89-2*E97</f>
        <v>0.005907545914954881</v>
      </c>
      <c r="G102" s="11"/>
      <c r="I102" s="10"/>
      <c r="J102" s="10"/>
    </row>
    <row r="103" spans="5:10" ht="13.5" thickBot="1">
      <c r="E103" s="48" t="s">
        <v>49</v>
      </c>
      <c r="F103" s="59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3"/>
      <c r="H117" s="12"/>
    </row>
    <row r="118" ht="12.75">
      <c r="A118" t="s">
        <v>52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42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6">
        <f>(D133/B129)*100</f>
        <v>7.4753901739514195</v>
      </c>
      <c r="E135" s="14" t="s">
        <v>89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37</v>
      </c>
      <c r="B138" t="s">
        <v>43</v>
      </c>
      <c r="D138" t="s">
        <v>53</v>
      </c>
      <c r="F138" s="1"/>
      <c r="G138" s="6" t="s">
        <v>100</v>
      </c>
      <c r="H138" s="8"/>
    </row>
    <row r="139" spans="1:8" ht="12.75">
      <c r="A139" t="s">
        <v>38</v>
      </c>
      <c r="B139">
        <v>6</v>
      </c>
      <c r="D139">
        <f>B139*0.0254/2*1000</f>
        <v>76.19999999999999</v>
      </c>
      <c r="E139" t="s">
        <v>40</v>
      </c>
      <c r="G139" s="9"/>
      <c r="H139" s="11"/>
    </row>
    <row r="140" spans="1:8" ht="12.75">
      <c r="A140" t="s">
        <v>39</v>
      </c>
      <c r="B140">
        <v>8</v>
      </c>
      <c r="D140">
        <f aca="true" t="shared" si="4" ref="D140:D148">B140*0.0254/2*1000</f>
        <v>101.6</v>
      </c>
      <c r="E140" t="s">
        <v>40</v>
      </c>
      <c r="G140" s="9" t="s">
        <v>98</v>
      </c>
      <c r="H140" s="11">
        <v>25</v>
      </c>
    </row>
    <row r="141" spans="1:8" ht="13.5" thickBot="1">
      <c r="A141" t="s">
        <v>41</v>
      </c>
      <c r="B141">
        <v>10</v>
      </c>
      <c r="D141">
        <f t="shared" si="4"/>
        <v>127</v>
      </c>
      <c r="G141" s="13" t="s">
        <v>99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2014-05-07T23:08:02Z</dcterms:modified>
  <cp:category/>
  <cp:version/>
  <cp:contentType/>
  <cp:contentStatus/>
</cp:coreProperties>
</file>