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<sst xmlns="http://schemas.openxmlformats.org/spreadsheetml/2006/main" count="225" uniqueCount="108">
  <si>
    <t>thickness</t>
  </si>
  <si>
    <t>length,l</t>
  </si>
  <si>
    <t>width,a</t>
  </si>
  <si>
    <t>shape factor</t>
  </si>
  <si>
    <t>load, P</t>
  </si>
  <si>
    <t>Young's modulus</t>
  </si>
  <si>
    <t xml:space="preserve">cross sectional </t>
  </si>
  <si>
    <t>cm</t>
  </si>
  <si>
    <t>frequency</t>
  </si>
  <si>
    <t>mass supported</t>
  </si>
  <si>
    <t>Hz</t>
  </si>
  <si>
    <t>m</t>
  </si>
  <si>
    <t>Mpa</t>
  </si>
  <si>
    <t>Deflection</t>
  </si>
  <si>
    <t>masstotal / blade</t>
  </si>
  <si>
    <t>kg</t>
  </si>
  <si>
    <t>Stress</t>
  </si>
  <si>
    <t>length</t>
  </si>
  <si>
    <t>internal mode</t>
  </si>
  <si>
    <t>BREAKING STRESS of THE WIRES</t>
  </si>
  <si>
    <t>total mass</t>
  </si>
  <si>
    <t xml:space="preserve">number of wires </t>
  </si>
  <si>
    <t>gravity</t>
  </si>
  <si>
    <t>radius of wire</t>
  </si>
  <si>
    <t>B.S. of steel wire</t>
  </si>
  <si>
    <t>working to ~ 1/3 of the Breaking Stress</t>
  </si>
  <si>
    <t xml:space="preserve">However, I have wire of radius </t>
  </si>
  <si>
    <t xml:space="preserve">Wire is tensioned to tensile stress = </t>
  </si>
  <si>
    <t>Want this as a % of the BS =</t>
  </si>
  <si>
    <t>mass1</t>
  </si>
  <si>
    <t>mass2</t>
  </si>
  <si>
    <t>mass3</t>
  </si>
  <si>
    <t>1.UPPER BLADES</t>
  </si>
  <si>
    <t>no. of blades</t>
  </si>
  <si>
    <t>clamps etc…</t>
  </si>
  <si>
    <t>MASS 1</t>
  </si>
  <si>
    <t>MAX STRESS</t>
  </si>
  <si>
    <t>WIRE IMPERIAL</t>
  </si>
  <si>
    <t>6thou diam</t>
  </si>
  <si>
    <t>8thou diam</t>
  </si>
  <si>
    <t>microns radius</t>
  </si>
  <si>
    <t>10thou diam</t>
  </si>
  <si>
    <t>spring steel</t>
  </si>
  <si>
    <t>EQUIV.</t>
  </si>
  <si>
    <t>WITH HOLE</t>
  </si>
  <si>
    <t>density</t>
  </si>
  <si>
    <t>mass</t>
  </si>
  <si>
    <t>Ix</t>
  </si>
  <si>
    <t>Iy</t>
  </si>
  <si>
    <t>Iz</t>
  </si>
  <si>
    <t>FUSED SILICA MASS</t>
  </si>
  <si>
    <t>1b. LOWER BLADES</t>
  </si>
  <si>
    <t>3. CHOICE OF THE WIRE</t>
  </si>
  <si>
    <t>WIRE METRIC (RADIUS)</t>
  </si>
  <si>
    <t>height of flat</t>
  </si>
  <si>
    <t>radius of mass</t>
  </si>
  <si>
    <t>distance,x</t>
  </si>
  <si>
    <t>mm</t>
  </si>
  <si>
    <t>theta</t>
  </si>
  <si>
    <t>g</t>
  </si>
  <si>
    <t>equiv. Mass</t>
  </si>
  <si>
    <t>flat width</t>
  </si>
  <si>
    <t>equiv. Flat width</t>
  </si>
  <si>
    <t>length, l</t>
  </si>
  <si>
    <t>2. the flats mass and moment of inertia</t>
  </si>
  <si>
    <t>3.the aluminium intermediate mass with hole</t>
  </si>
  <si>
    <t>4. and choice of radius for the wire</t>
  </si>
  <si>
    <r>
      <t>INTERNAL MODE</t>
    </r>
    <r>
      <rPr>
        <sz val="10"/>
        <rFont val="Arial"/>
        <family val="0"/>
      </rPr>
      <t xml:space="preserve"> (SCALLED FROM ORIGINAL BLADE)</t>
    </r>
  </si>
  <si>
    <t>KEY: - INPUT BLUE</t>
  </si>
  <si>
    <t xml:space="preserve">          OUTPUT RED</t>
  </si>
  <si>
    <t xml:space="preserve">density of material </t>
  </si>
  <si>
    <t>1/2 height, y</t>
  </si>
  <si>
    <t>FOR USE WITH A TRIPLE PENDULUM</t>
  </si>
  <si>
    <t>ALUMINIUM MASS  MASS</t>
  </si>
  <si>
    <t>outer radius of mass</t>
  </si>
  <si>
    <t>inner radius of mass</t>
  </si>
  <si>
    <t>outer mass</t>
  </si>
  <si>
    <t>inner mass</t>
  </si>
  <si>
    <t>y</t>
  </si>
  <si>
    <t>x</t>
  </si>
  <si>
    <t xml:space="preserve">  </t>
  </si>
  <si>
    <t xml:space="preserve">                theta</t>
  </si>
  <si>
    <t xml:space="preserve">           radius, r</t>
  </si>
  <si>
    <t>THE FLAT</t>
  </si>
  <si>
    <t>OVERALL (2 FLATS AND A HOLE)</t>
  </si>
  <si>
    <t>OVERALL (2 FLATS)</t>
  </si>
  <si>
    <t xml:space="preserve">                   NB:-</t>
  </si>
  <si>
    <t>Match equiv. Mass with</t>
  </si>
  <si>
    <t>mass of flat</t>
  </si>
  <si>
    <t>%</t>
  </si>
  <si>
    <t>Length,L</t>
  </si>
  <si>
    <t>R</t>
  </si>
  <si>
    <t xml:space="preserve">FUSED SICIA </t>
  </si>
  <si>
    <t xml:space="preserve">HAVE L and h NEED TO GET SAME </t>
  </si>
  <si>
    <t>VALUE OF h for a VALUE OF R</t>
  </si>
  <si>
    <r>
      <t>deflection,</t>
    </r>
    <r>
      <rPr>
        <sz val="10"/>
        <rFont val="Symbol"/>
        <family val="1"/>
      </rPr>
      <t>l</t>
    </r>
  </si>
  <si>
    <t>deflection, h</t>
  </si>
  <si>
    <t>l</t>
  </si>
  <si>
    <t>Mass added</t>
  </si>
  <si>
    <t>Tensile Strength</t>
  </si>
  <si>
    <t>EXPT. TO SNAP WIRE</t>
  </si>
  <si>
    <t>???</t>
  </si>
  <si>
    <r>
      <t xml:space="preserve">INTERNAL MODE </t>
    </r>
    <r>
      <rPr>
        <sz val="10"/>
        <rFont val="Arial"/>
        <family val="0"/>
      </rPr>
      <t>(SCALED FROM ORIGINAL  BLADE)</t>
    </r>
  </si>
  <si>
    <t>NAR 22nd June 2008</t>
  </si>
  <si>
    <t>1.CALCULATION OF VARIOUS BLADE PARAMETERS,</t>
  </si>
  <si>
    <t>Adapted for beamsplitter using RAL parameters (Justin/4jun08) and T040027-03-R</t>
  </si>
  <si>
    <t>(as used by RAL)</t>
  </si>
  <si>
    <t>as used by RAL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</si>
</sst>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E+00"/>
    <numFmt numFmtId="173" formatCode="0.0000E+00"/>
    <numFmt numFmtId="174" formatCode="0.0E+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-* #,##0.0_-;\-* #,##0.0_-;_-* &quot;-&quot;??_-;_-@_-"/>
    <numFmt numFmtId="182" formatCode="0.00E+00;\⽰"/>
    <numFmt numFmtId="183" formatCode="0.00E+00;\ज"/>
    <numFmt numFmtId="184" formatCode="0.0E+00;\ज"/>
    <numFmt numFmtId="185" formatCode="0.000E+00;\ĝ"/>
    <numFmt numFmtId="186" formatCode="0.00E+00;\ĝ"/>
    <numFmt numFmtId="187" formatCode="0.00000000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(* #,##0.0_);_(* \(#,##0.0\);_(* &quot;-&quot;?_);_(@_)"/>
  </numFmts>
  <fonts count="53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8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0"/>
      <color indexed="40"/>
      <name val="Arial"/>
      <family val="2"/>
    </font>
    <font>
      <sz val="10"/>
      <name val="Symbol"/>
      <family val="1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11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1" fontId="0" fillId="0" borderId="14" xfId="0" applyNumberFormat="1" applyBorder="1" applyAlignment="1">
      <alignment/>
    </xf>
    <xf numFmtId="0" fontId="2" fillId="0" borderId="0" xfId="0" applyFont="1" applyBorder="1" applyAlignment="1">
      <alignment/>
    </xf>
    <xf numFmtId="11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17" xfId="0" applyFont="1" applyBorder="1" applyAlignment="1">
      <alignment/>
    </xf>
    <xf numFmtId="11" fontId="2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71" fontId="1" fillId="0" borderId="11" xfId="42" applyFont="1" applyBorder="1" applyAlignment="1">
      <alignment/>
    </xf>
    <xf numFmtId="177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180" fontId="1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180" fontId="0" fillId="0" borderId="0" xfId="0" applyNumberFormat="1" applyAlignment="1">
      <alignment/>
    </xf>
    <xf numFmtId="186" fontId="0" fillId="0" borderId="0" xfId="0" applyNumberFormat="1" applyAlignment="1">
      <alignment/>
    </xf>
    <xf numFmtId="177" fontId="1" fillId="0" borderId="16" xfId="0" applyNumberFormat="1" applyFont="1" applyBorder="1" applyAlignment="1">
      <alignment/>
    </xf>
    <xf numFmtId="176" fontId="0" fillId="0" borderId="0" xfId="0" applyNumberFormat="1" applyAlignment="1">
      <alignment/>
    </xf>
    <xf numFmtId="190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80" fontId="10" fillId="0" borderId="0" xfId="0" applyNumberFormat="1" applyFont="1" applyBorder="1" applyAlignment="1">
      <alignment/>
    </xf>
    <xf numFmtId="171" fontId="0" fillId="0" borderId="16" xfId="42" applyFont="1" applyBorder="1" applyAlignment="1">
      <alignment/>
    </xf>
    <xf numFmtId="2" fontId="1" fillId="0" borderId="0" xfId="0" applyNumberFormat="1" applyFont="1" applyBorder="1" applyAlignment="1">
      <alignment horizontal="left" indent="4"/>
    </xf>
    <xf numFmtId="179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1" fontId="0" fillId="0" borderId="0" xfId="0" applyNumberFormat="1" applyAlignment="1">
      <alignment/>
    </xf>
    <xf numFmtId="0" fontId="1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2" fontId="1" fillId="0" borderId="11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25"/>
          <c:w val="0.909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Sheet1!$A$59:$A$65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Sheet1!$B$59:$B$65</c:f>
              <c:numCache>
                <c:ptCount val="7"/>
                <c:pt idx="2">
                  <c:v>75</c:v>
                </c:pt>
                <c:pt idx="3">
                  <c:v>75</c:v>
                </c:pt>
                <c:pt idx="4">
                  <c:v>50</c:v>
                </c:pt>
                <c:pt idx="5">
                  <c:v>2202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Sheet1!$A$59:$A$65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Sheet1!$D$60:$D$66</c:f>
              <c:numCache>
                <c:ptCount val="7"/>
                <c:pt idx="1">
                  <c:v>0.075</c:v>
                </c:pt>
                <c:pt idx="2">
                  <c:v>0.075</c:v>
                </c:pt>
                <c:pt idx="3">
                  <c:v>0.05</c:v>
                </c:pt>
              </c:numCache>
            </c:numRef>
          </c:val>
        </c:ser>
        <c:axId val="1600838"/>
        <c:axId val="14407543"/>
      </c:barChart>
      <c:catAx>
        <c:axId val="1600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7543"/>
        <c:crosses val="autoZero"/>
        <c:auto val="1"/>
        <c:lblOffset val="100"/>
        <c:tickLblSkip val="1"/>
        <c:noMultiLvlLbl val="0"/>
      </c:catAx>
      <c:valAx>
        <c:axId val="14407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"/>
          <c:y val="0.45375"/>
          <c:w val="0.065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3"/>
          <c:w val="0.915"/>
          <c:h val="0.84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Sheet1!$K$11:$K$49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Sheet1!$L$11:$L$49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Sheet1!$M$11:$M$49</c:f>
              <c:numCache/>
            </c:numRef>
          </c:yVal>
          <c:smooth val="1"/>
        </c:ser>
        <c:axId val="62559024"/>
        <c:axId val="26160305"/>
      </c:scatterChart>
      <c:valAx>
        <c:axId val="6255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radius of curvature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60305"/>
        <c:crosses val="autoZero"/>
        <c:crossBetween val="midCat"/>
        <c:dispUnits/>
      </c:valAx>
      <c:valAx>
        <c:axId val="26160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deflection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90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54</xdr:row>
      <xdr:rowOff>66675</xdr:rowOff>
    </xdr:from>
    <xdr:to>
      <xdr:col>6</xdr:col>
      <xdr:colOff>676275</xdr:colOff>
      <xdr:row>58</xdr:row>
      <xdr:rowOff>0</xdr:rowOff>
    </xdr:to>
    <xdr:sp>
      <xdr:nvSpPr>
        <xdr:cNvPr id="1" name="AutoShape 1"/>
        <xdr:cNvSpPr>
          <a:spLocks/>
        </xdr:cNvSpPr>
      </xdr:nvSpPr>
      <xdr:spPr>
        <a:xfrm rot="10800000" flipV="1">
          <a:off x="3800475" y="9029700"/>
          <a:ext cx="1343025" cy="58102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54</xdr:row>
      <xdr:rowOff>104775</xdr:rowOff>
    </xdr:from>
    <xdr:to>
      <xdr:col>7</xdr:col>
      <xdr:colOff>123825</xdr:colOff>
      <xdr:row>58</xdr:row>
      <xdr:rowOff>9525</xdr:rowOff>
    </xdr:to>
    <xdr:sp>
      <xdr:nvSpPr>
        <xdr:cNvPr id="2" name="Line 2"/>
        <xdr:cNvSpPr>
          <a:spLocks/>
        </xdr:cNvSpPr>
      </xdr:nvSpPr>
      <xdr:spPr>
        <a:xfrm>
          <a:off x="5524500" y="9067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58</xdr:row>
      <xdr:rowOff>152400</xdr:rowOff>
    </xdr:from>
    <xdr:to>
      <xdr:col>6</xdr:col>
      <xdr:colOff>704850</xdr:colOff>
      <xdr:row>58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790950" y="9763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54</xdr:row>
      <xdr:rowOff>0</xdr:rowOff>
    </xdr:from>
    <xdr:to>
      <xdr:col>6</xdr:col>
      <xdr:colOff>619125</xdr:colOff>
      <xdr:row>57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3733800" y="8963025"/>
          <a:ext cx="13525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</xdr:row>
      <xdr:rowOff>47625</xdr:rowOff>
    </xdr:from>
    <xdr:to>
      <xdr:col>22</xdr:col>
      <xdr:colOff>390525</xdr:colOff>
      <xdr:row>16</xdr:row>
      <xdr:rowOff>38100</xdr:rowOff>
    </xdr:to>
    <xdr:graphicFrame>
      <xdr:nvGraphicFramePr>
        <xdr:cNvPr id="5" name="Chart 5"/>
        <xdr:cNvGraphicFramePr/>
      </xdr:nvGraphicFramePr>
      <xdr:xfrm>
        <a:off x="11010900" y="219075"/>
        <a:ext cx="4810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"/>
  <sheetViews>
    <sheetView tabSelected="1" zoomScale="75" zoomScaleNormal="75" zoomScalePageLayoutView="0" workbookViewId="0" topLeftCell="A14">
      <selection activeCell="B35" sqref="B35"/>
    </sheetView>
  </sheetViews>
  <sheetFormatPr defaultColWidth="9.140625" defaultRowHeight="12.75"/>
  <cols>
    <col min="1" max="1" width="17.57421875" style="0" customWidth="1"/>
    <col min="2" max="2" width="10.8515625" style="0" customWidth="1"/>
    <col min="3" max="3" width="3.7109375" style="0" customWidth="1"/>
    <col min="4" max="4" width="8.7109375" style="0" customWidth="1"/>
    <col min="5" max="5" width="10.8515625" style="0" customWidth="1"/>
    <col min="6" max="6" width="15.28125" style="0" customWidth="1"/>
    <col min="7" max="7" width="14.00390625" style="0" customWidth="1"/>
    <col min="8" max="8" width="8.8515625" style="0" customWidth="1"/>
    <col min="10" max="10" width="11.57421875" style="0" customWidth="1"/>
    <col min="11" max="11" width="10.28125" style="0" customWidth="1"/>
    <col min="12" max="12" width="11.28125" style="0" customWidth="1"/>
    <col min="18" max="18" width="11.00390625" style="0" bestFit="1" customWidth="1"/>
    <col min="20" max="20" width="15.140625" style="0" customWidth="1"/>
  </cols>
  <sheetData>
    <row r="1" spans="1:8" ht="13.5" thickBot="1">
      <c r="A1" t="s">
        <v>72</v>
      </c>
      <c r="H1" s="37"/>
    </row>
    <row r="2" spans="1:8" ht="12.75">
      <c r="A2" t="s">
        <v>105</v>
      </c>
      <c r="G2" s="38" t="s">
        <v>68</v>
      </c>
      <c r="H2" s="39"/>
    </row>
    <row r="3" spans="1:11" ht="13.5" thickBot="1">
      <c r="A3" t="s">
        <v>103</v>
      </c>
      <c r="G3" s="40" t="s">
        <v>69</v>
      </c>
      <c r="H3" s="41"/>
      <c r="K3" t="s">
        <v>93</v>
      </c>
    </row>
    <row r="4" spans="1:17" ht="12.75">
      <c r="A4" s="4" t="s">
        <v>104</v>
      </c>
      <c r="Q4" s="4"/>
    </row>
    <row r="5" spans="1:17" ht="12.75">
      <c r="A5" s="4" t="s">
        <v>64</v>
      </c>
      <c r="K5" t="s">
        <v>94</v>
      </c>
      <c r="Q5" s="4"/>
    </row>
    <row r="6" spans="1:17" ht="12.75">
      <c r="A6" s="26" t="s">
        <v>65</v>
      </c>
      <c r="Q6" s="4"/>
    </row>
    <row r="7" spans="1:17" ht="12.75">
      <c r="A7" s="18" t="s">
        <v>66</v>
      </c>
      <c r="G7" s="18"/>
      <c r="K7" t="s">
        <v>90</v>
      </c>
      <c r="L7">
        <v>140</v>
      </c>
      <c r="M7" t="s">
        <v>57</v>
      </c>
      <c r="Q7" s="4"/>
    </row>
    <row r="8" spans="1:14" ht="22.5">
      <c r="A8" s="36"/>
      <c r="H8" s="24"/>
      <c r="K8" t="s">
        <v>95</v>
      </c>
      <c r="L8" s="70">
        <f>G39*10</f>
        <v>69.82692172359363</v>
      </c>
      <c r="M8" t="s">
        <v>57</v>
      </c>
      <c r="N8" s="3"/>
    </row>
    <row r="9" spans="4:13" ht="12.75">
      <c r="D9" s="2"/>
      <c r="L9" s="3"/>
      <c r="M9" s="71" t="s">
        <v>97</v>
      </c>
    </row>
    <row r="10" spans="1:13" ht="12.75">
      <c r="A10" t="s">
        <v>32</v>
      </c>
      <c r="J10" t="s">
        <v>91</v>
      </c>
      <c r="K10" t="s">
        <v>57</v>
      </c>
      <c r="L10" t="s">
        <v>96</v>
      </c>
      <c r="M10" t="s">
        <v>57</v>
      </c>
    </row>
    <row r="11" spans="10:13" ht="12.75">
      <c r="J11">
        <v>20</v>
      </c>
      <c r="M11">
        <f>J11*(1-COS($L$7/J11))</f>
        <v>4.9219549131339075</v>
      </c>
    </row>
    <row r="12" spans="1:18" ht="12.75">
      <c r="A12" t="s">
        <v>0</v>
      </c>
      <c r="B12" s="3">
        <v>2.6</v>
      </c>
      <c r="C12" s="3" t="s">
        <v>57</v>
      </c>
      <c r="D12">
        <f>B12/1000</f>
        <v>0.0026</v>
      </c>
      <c r="E12" t="s">
        <v>11</v>
      </c>
      <c r="F12" t="s">
        <v>14</v>
      </c>
      <c r="G12" s="5">
        <f>(B18+B19+B20)/B21</f>
        <v>23.5875</v>
      </c>
      <c r="H12" s="5" t="s">
        <v>15</v>
      </c>
      <c r="J12">
        <v>30</v>
      </c>
      <c r="L12" s="3"/>
      <c r="M12">
        <f aca="true" t="shared" si="0" ref="M12:M26">J12*(1-COS($L$7/J12))</f>
        <v>31.371191542157412</v>
      </c>
      <c r="R12" s="1"/>
    </row>
    <row r="13" spans="1:13" ht="12.75">
      <c r="A13" t="s">
        <v>1</v>
      </c>
      <c r="B13" s="3">
        <v>29.5</v>
      </c>
      <c r="C13" s="3" t="s">
        <v>7</v>
      </c>
      <c r="D13">
        <f>B13/100</f>
        <v>0.295</v>
      </c>
      <c r="E13" t="s">
        <v>11</v>
      </c>
      <c r="F13" t="s">
        <v>9</v>
      </c>
      <c r="G13" s="5">
        <f>B18/B21</f>
        <v>6.31</v>
      </c>
      <c r="H13" s="5" t="s">
        <v>15</v>
      </c>
      <c r="J13">
        <v>35</v>
      </c>
      <c r="L13" s="3"/>
      <c r="M13">
        <f>J13*(1-COS($L$7/J13))</f>
        <v>57.877526730226414</v>
      </c>
    </row>
    <row r="14" spans="1:13" ht="12.75">
      <c r="A14" t="s">
        <v>2</v>
      </c>
      <c r="B14" s="3">
        <v>6.25</v>
      </c>
      <c r="C14" s="3" t="s">
        <v>7</v>
      </c>
      <c r="D14">
        <f>B14/100</f>
        <v>0.0625</v>
      </c>
      <c r="E14" t="s">
        <v>11</v>
      </c>
      <c r="F14" t="s">
        <v>4</v>
      </c>
      <c r="G14" s="55">
        <f>G12*9.81</f>
        <v>231.393375</v>
      </c>
      <c r="J14">
        <f aca="true" t="shared" si="1" ref="J14:J21">J13+10</f>
        <v>45</v>
      </c>
      <c r="L14" s="5"/>
      <c r="M14">
        <f t="shared" si="0"/>
        <v>89.97909631886796</v>
      </c>
    </row>
    <row r="15" spans="2:13" ht="12.75">
      <c r="B15" s="3"/>
      <c r="C15" s="3"/>
      <c r="F15" t="s">
        <v>6</v>
      </c>
      <c r="G15" s="56">
        <f>D14*D12^3/12</f>
        <v>9.154166666666666E-11</v>
      </c>
      <c r="J15">
        <f t="shared" si="1"/>
        <v>55</v>
      </c>
      <c r="L15" s="5"/>
      <c r="M15">
        <f t="shared" si="0"/>
        <v>100.51305236817367</v>
      </c>
    </row>
    <row r="16" spans="1:13" ht="12.75">
      <c r="A16" t="s">
        <v>29</v>
      </c>
      <c r="B16" s="3">
        <v>12.62</v>
      </c>
      <c r="C16" s="3" t="s">
        <v>15</v>
      </c>
      <c r="J16">
        <f t="shared" si="1"/>
        <v>65</v>
      </c>
      <c r="L16" s="5"/>
      <c r="M16">
        <f t="shared" si="0"/>
        <v>100.78720928567826</v>
      </c>
    </row>
    <row r="17" spans="1:13" ht="13.5" thickBot="1">
      <c r="A17" t="s">
        <v>34</v>
      </c>
      <c r="B17" s="3">
        <v>0</v>
      </c>
      <c r="C17" s="3" t="s">
        <v>15</v>
      </c>
      <c r="J17">
        <f t="shared" si="1"/>
        <v>75</v>
      </c>
      <c r="M17">
        <f t="shared" si="0"/>
        <v>96.86793622169193</v>
      </c>
    </row>
    <row r="18" spans="1:15" ht="12.75">
      <c r="A18" t="s">
        <v>35</v>
      </c>
      <c r="B18">
        <f>B17+B16</f>
        <v>12.62</v>
      </c>
      <c r="C18" t="s">
        <v>15</v>
      </c>
      <c r="F18" s="25" t="s">
        <v>13</v>
      </c>
      <c r="G18" s="75">
        <f>B24*G14*(D13^3)/(3*B23*G15)*100</f>
        <v>15.816226024542262</v>
      </c>
      <c r="H18" s="29" t="s">
        <v>7</v>
      </c>
      <c r="I18" s="2"/>
      <c r="J18">
        <f t="shared" si="1"/>
        <v>85</v>
      </c>
      <c r="M18">
        <f t="shared" si="0"/>
        <v>91.47603056222599</v>
      </c>
      <c r="O18" s="2"/>
    </row>
    <row r="19" spans="1:13" ht="12.75">
      <c r="A19" t="s">
        <v>30</v>
      </c>
      <c r="B19" s="3">
        <v>13.575</v>
      </c>
      <c r="C19" s="3" t="s">
        <v>15</v>
      </c>
      <c r="F19" s="35"/>
      <c r="G19" s="10"/>
      <c r="H19" s="20"/>
      <c r="J19">
        <f t="shared" si="1"/>
        <v>95</v>
      </c>
      <c r="M19">
        <f>J19*(1-COS($L$7/J19))</f>
        <v>85.78884293994508</v>
      </c>
    </row>
    <row r="20" spans="1:13" ht="12.75">
      <c r="A20" t="s">
        <v>31</v>
      </c>
      <c r="B20" s="3">
        <v>20.98</v>
      </c>
      <c r="C20" s="3" t="s">
        <v>15</v>
      </c>
      <c r="F20" s="35" t="s">
        <v>8</v>
      </c>
      <c r="G20" s="72">
        <f>1/(2*PI())*((B23*D14*D12^3)/(4*G13*D13^3*B24))^0.5</f>
        <v>2.4234244263138014</v>
      </c>
      <c r="H20" s="28" t="s">
        <v>10</v>
      </c>
      <c r="J20">
        <f t="shared" si="1"/>
        <v>105</v>
      </c>
      <c r="M20">
        <f t="shared" si="0"/>
        <v>80.30005480318611</v>
      </c>
    </row>
    <row r="21" spans="1:18" ht="12.75">
      <c r="A21" t="s">
        <v>33</v>
      </c>
      <c r="B21" s="3">
        <v>2</v>
      </c>
      <c r="C21" s="3"/>
      <c r="F21" s="35"/>
      <c r="G21" s="10"/>
      <c r="H21" s="28"/>
      <c r="J21">
        <f t="shared" si="1"/>
        <v>115</v>
      </c>
      <c r="M21">
        <f t="shared" si="0"/>
        <v>75.19914415629947</v>
      </c>
      <c r="P21" s="2"/>
      <c r="Q21" s="2"/>
      <c r="R21" s="2"/>
    </row>
    <row r="22" spans="6:16" ht="12.75">
      <c r="F22" s="35" t="s">
        <v>16</v>
      </c>
      <c r="G22" s="46">
        <f>(6*G14*D13)/(D14*D12^2)/1000000</f>
        <v>969.3876301775147</v>
      </c>
      <c r="H22" s="28" t="s">
        <v>12</v>
      </c>
      <c r="J22" s="74">
        <v>138</v>
      </c>
      <c r="K22" s="74"/>
      <c r="L22" s="74"/>
      <c r="M22" s="74">
        <f>J22*(1-COS($L$7/J22))</f>
        <v>65.12899517741131</v>
      </c>
      <c r="O22" s="10"/>
      <c r="P22" s="74"/>
    </row>
    <row r="23" spans="1:16" ht="12.75">
      <c r="A23" t="s">
        <v>5</v>
      </c>
      <c r="B23" s="1">
        <v>186000000000</v>
      </c>
      <c r="F23" s="9"/>
      <c r="G23" s="10" t="str">
        <f>IF(G22&gt;G24,"**BAD!**","Good")</f>
        <v>Good</v>
      </c>
      <c r="H23" s="30"/>
      <c r="I23" s="4"/>
      <c r="J23" s="73">
        <v>147</v>
      </c>
      <c r="K23" s="73"/>
      <c r="L23" s="73"/>
      <c r="M23" s="73">
        <f t="shared" si="0"/>
        <v>61.777523374338315</v>
      </c>
      <c r="O23" s="10"/>
      <c r="P23" s="74"/>
    </row>
    <row r="24" spans="1:15" ht="13.5" thickBot="1">
      <c r="A24" t="s">
        <v>3</v>
      </c>
      <c r="B24" s="3">
        <v>1.36</v>
      </c>
      <c r="C24" s="4" t="s">
        <v>101</v>
      </c>
      <c r="F24" s="31" t="s">
        <v>36</v>
      </c>
      <c r="G24" s="32">
        <v>1000</v>
      </c>
      <c r="H24" s="15"/>
      <c r="J24">
        <f aca="true" t="shared" si="2" ref="J24:J43">J23+10</f>
        <v>157</v>
      </c>
      <c r="M24">
        <f t="shared" si="0"/>
        <v>58.39226722413047</v>
      </c>
      <c r="O24" s="10"/>
    </row>
    <row r="25" spans="2:20" ht="13.5" thickBot="1">
      <c r="B25" t="s">
        <v>106</v>
      </c>
      <c r="J25">
        <f t="shared" si="2"/>
        <v>167</v>
      </c>
      <c r="M25">
        <f>J25*(1-COS($L$7/J25))</f>
        <v>55.325364782469094</v>
      </c>
      <c r="O25" s="10"/>
      <c r="P25" s="10"/>
      <c r="Q25" s="10"/>
      <c r="R25" s="10"/>
      <c r="S25" s="10"/>
      <c r="T25" s="10"/>
    </row>
    <row r="26" spans="4:20" ht="12.75">
      <c r="D26" s="25" t="s">
        <v>67</v>
      </c>
      <c r="E26" s="7"/>
      <c r="F26" s="7"/>
      <c r="G26" s="7"/>
      <c r="H26" s="8"/>
      <c r="J26">
        <f t="shared" si="2"/>
        <v>177</v>
      </c>
      <c r="M26">
        <f t="shared" si="0"/>
        <v>52.54019662811271</v>
      </c>
      <c r="O26" s="10"/>
      <c r="P26" s="10"/>
      <c r="Q26" s="10"/>
      <c r="R26" s="10"/>
      <c r="S26" s="10"/>
      <c r="T26" s="10"/>
    </row>
    <row r="27" spans="4:20" ht="12.75">
      <c r="D27" s="9" t="s">
        <v>17</v>
      </c>
      <c r="E27" s="10"/>
      <c r="F27" s="10">
        <v>0.37</v>
      </c>
      <c r="G27" s="10"/>
      <c r="H27" s="11"/>
      <c r="J27">
        <f t="shared" si="2"/>
        <v>187</v>
      </c>
      <c r="M27">
        <f aca="true" t="shared" si="3" ref="M27:M49">J27*(1-COS($L$7/J27))</f>
        <v>50.00389415554294</v>
      </c>
      <c r="P27" s="10"/>
      <c r="Q27" s="10"/>
      <c r="R27" s="10"/>
      <c r="S27" s="10"/>
      <c r="T27" s="10"/>
    </row>
    <row r="28" spans="3:20" ht="12.75">
      <c r="C28" s="1"/>
      <c r="D28" s="9" t="s">
        <v>0</v>
      </c>
      <c r="E28" s="10"/>
      <c r="F28" s="10">
        <v>0.002</v>
      </c>
      <c r="G28" s="46">
        <f>D12/F28*(F27/D13)^2*F29</f>
        <v>112.47744900890545</v>
      </c>
      <c r="H28" s="28" t="s">
        <v>10</v>
      </c>
      <c r="J28">
        <f t="shared" si="2"/>
        <v>197</v>
      </c>
      <c r="M28">
        <f t="shared" si="3"/>
        <v>47.68748134267146</v>
      </c>
      <c r="P28" s="10"/>
      <c r="Q28" s="10"/>
      <c r="R28" s="10"/>
      <c r="S28" s="12"/>
      <c r="T28" s="10"/>
    </row>
    <row r="29" spans="3:20" ht="13.5" thickBot="1">
      <c r="C29" s="3"/>
      <c r="D29" s="13" t="s">
        <v>18</v>
      </c>
      <c r="E29" s="14"/>
      <c r="F29" s="14">
        <v>55</v>
      </c>
      <c r="G29" s="14"/>
      <c r="H29" s="15"/>
      <c r="J29">
        <f t="shared" si="2"/>
        <v>207</v>
      </c>
      <c r="M29">
        <f t="shared" si="3"/>
        <v>45.56565043813555</v>
      </c>
      <c r="P29" s="10"/>
      <c r="Q29" s="10"/>
      <c r="R29" s="10"/>
      <c r="S29" s="10"/>
      <c r="T29" s="10"/>
    </row>
    <row r="30" spans="10:13" ht="12.75">
      <c r="J30">
        <f t="shared" si="2"/>
        <v>217</v>
      </c>
      <c r="M30">
        <f t="shared" si="3"/>
        <v>43.61639477415989</v>
      </c>
    </row>
    <row r="31" spans="10:13" ht="12.75">
      <c r="J31">
        <f t="shared" si="2"/>
        <v>227</v>
      </c>
      <c r="M31">
        <f t="shared" si="3"/>
        <v>41.82060675314346</v>
      </c>
    </row>
    <row r="32" spans="1:13" ht="12.75">
      <c r="A32" t="s">
        <v>51</v>
      </c>
      <c r="J32">
        <f t="shared" si="2"/>
        <v>237</v>
      </c>
      <c r="M32">
        <f t="shared" si="3"/>
        <v>40.16169108188248</v>
      </c>
    </row>
    <row r="33" spans="10:13" ht="12.75">
      <c r="J33">
        <f t="shared" si="2"/>
        <v>247</v>
      </c>
      <c r="M33">
        <f t="shared" si="3"/>
        <v>38.62521416663304</v>
      </c>
    </row>
    <row r="34" spans="1:13" ht="12.75">
      <c r="A34" t="s">
        <v>0</v>
      </c>
      <c r="B34" s="3">
        <v>1.78</v>
      </c>
      <c r="C34" s="3" t="s">
        <v>57</v>
      </c>
      <c r="D34">
        <f>B34/1000</f>
        <v>0.0017800000000000001</v>
      </c>
      <c r="E34" t="s">
        <v>11</v>
      </c>
      <c r="F34" t="s">
        <v>14</v>
      </c>
      <c r="G34" s="5">
        <f>(B38+B39)/B40</f>
        <v>8.63875</v>
      </c>
      <c r="H34" s="5" t="s">
        <v>15</v>
      </c>
      <c r="I34" s="2"/>
      <c r="J34">
        <f t="shared" si="2"/>
        <v>257</v>
      </c>
      <c r="M34">
        <f t="shared" si="3"/>
        <v>37.19859612289325</v>
      </c>
    </row>
    <row r="35" spans="1:13" ht="12.75">
      <c r="A35" t="s">
        <v>1</v>
      </c>
      <c r="B35" s="3">
        <v>16</v>
      </c>
      <c r="C35" s="3" t="s">
        <v>7</v>
      </c>
      <c r="D35">
        <f>B35/100</f>
        <v>0.16</v>
      </c>
      <c r="E35" t="s">
        <v>11</v>
      </c>
      <c r="F35" t="s">
        <v>9</v>
      </c>
      <c r="G35" s="5">
        <f>B38/B40</f>
        <v>3.39375</v>
      </c>
      <c r="H35" s="5" t="s">
        <v>15</v>
      </c>
      <c r="J35">
        <f t="shared" si="2"/>
        <v>267</v>
      </c>
      <c r="M35">
        <f t="shared" si="3"/>
        <v>35.87084494362511</v>
      </c>
    </row>
    <row r="36" spans="1:13" ht="12.75">
      <c r="A36" t="s">
        <v>2</v>
      </c>
      <c r="B36" s="3">
        <v>2.578</v>
      </c>
      <c r="C36" s="3" t="s">
        <v>7</v>
      </c>
      <c r="D36">
        <f>B36/100</f>
        <v>0.025779999999999997</v>
      </c>
      <c r="E36" t="s">
        <v>11</v>
      </c>
      <c r="F36" t="s">
        <v>4</v>
      </c>
      <c r="G36" s="57">
        <f>G34*9.81</f>
        <v>84.7461375</v>
      </c>
      <c r="J36">
        <f t="shared" si="2"/>
        <v>277</v>
      </c>
      <c r="M36">
        <f t="shared" si="3"/>
        <v>34.63232933000693</v>
      </c>
    </row>
    <row r="37" spans="2:13" ht="12.75">
      <c r="B37" s="3"/>
      <c r="C37" s="3"/>
      <c r="F37" t="s">
        <v>6</v>
      </c>
      <c r="G37" s="58">
        <f>D36*D34^3/12</f>
        <v>1.2116067213333334E-11</v>
      </c>
      <c r="J37" s="74">
        <v>283.5</v>
      </c>
      <c r="K37" s="74"/>
      <c r="L37" s="74"/>
      <c r="M37" s="74">
        <f t="shared" si="3"/>
        <v>33.87109435389847</v>
      </c>
    </row>
    <row r="38" spans="1:13" ht="13.5" thickBot="1">
      <c r="A38" t="s">
        <v>30</v>
      </c>
      <c r="B38" s="3">
        <v>13.575</v>
      </c>
      <c r="C38" s="3" t="s">
        <v>15</v>
      </c>
      <c r="J38">
        <f t="shared" si="2"/>
        <v>293.5</v>
      </c>
      <c r="M38">
        <f t="shared" si="3"/>
        <v>32.761795266212765</v>
      </c>
    </row>
    <row r="39" spans="1:13" ht="12.75">
      <c r="A39" t="s">
        <v>31</v>
      </c>
      <c r="B39" s="3">
        <v>20.98</v>
      </c>
      <c r="C39" s="3" t="s">
        <v>15</v>
      </c>
      <c r="F39" s="6" t="s">
        <v>13</v>
      </c>
      <c r="G39" s="42">
        <f>B42*G36*(D35^3)/(3*B41*G37)*100</f>
        <v>6.982692172359363</v>
      </c>
      <c r="H39" s="29" t="s">
        <v>7</v>
      </c>
      <c r="J39">
        <f t="shared" si="2"/>
        <v>303.5</v>
      </c>
      <c r="M39">
        <f t="shared" si="3"/>
        <v>31.7214312448332</v>
      </c>
    </row>
    <row r="40" spans="1:13" ht="12.75">
      <c r="A40" t="s">
        <v>33</v>
      </c>
      <c r="B40" s="3">
        <v>4</v>
      </c>
      <c r="C40" s="3"/>
      <c r="F40" s="9"/>
      <c r="G40" s="10"/>
      <c r="H40" s="11"/>
      <c r="J40">
        <f t="shared" si="2"/>
        <v>313.5</v>
      </c>
      <c r="M40">
        <f t="shared" si="3"/>
        <v>30.743905993895016</v>
      </c>
    </row>
    <row r="41" spans="1:13" ht="12.75">
      <c r="A41" t="s">
        <v>5</v>
      </c>
      <c r="B41" s="34">
        <v>186000000000</v>
      </c>
      <c r="F41" s="9" t="s">
        <v>8</v>
      </c>
      <c r="G41" s="67">
        <f>1/(2*PI())*((B41*D36*D34^3)/(4*G35*D35^3*B42))^0.5</f>
        <v>3.009738172226983</v>
      </c>
      <c r="H41" s="28" t="s">
        <v>10</v>
      </c>
      <c r="J41">
        <f t="shared" si="2"/>
        <v>323.5</v>
      </c>
      <c r="M41">
        <f t="shared" si="3"/>
        <v>29.82380422605976</v>
      </c>
    </row>
    <row r="42" spans="1:13" ht="12.75">
      <c r="A42" t="s">
        <v>3</v>
      </c>
      <c r="B42" s="3">
        <v>1.36</v>
      </c>
      <c r="C42" t="s">
        <v>101</v>
      </c>
      <c r="F42" s="9"/>
      <c r="G42" s="10"/>
      <c r="H42" s="11"/>
      <c r="J42">
        <f t="shared" si="2"/>
        <v>333.5</v>
      </c>
      <c r="M42">
        <f t="shared" si="3"/>
        <v>28.95630188219035</v>
      </c>
    </row>
    <row r="43" spans="2:13" ht="12.75">
      <c r="B43" t="s">
        <v>107</v>
      </c>
      <c r="F43" s="9" t="s">
        <v>16</v>
      </c>
      <c r="G43" s="46">
        <f>(6*G36*D35)/(D36*D34^2)/1000000</f>
        <v>996.0203890846469</v>
      </c>
      <c r="H43" s="28" t="s">
        <v>12</v>
      </c>
      <c r="J43">
        <f t="shared" si="2"/>
        <v>343.5</v>
      </c>
      <c r="M43">
        <f t="shared" si="3"/>
        <v>28.13708967180357</v>
      </c>
    </row>
    <row r="44" spans="6:13" ht="13.5" thickBot="1">
      <c r="F44" s="13"/>
      <c r="G44" s="14"/>
      <c r="H44" s="15"/>
      <c r="J44">
        <v>351</v>
      </c>
      <c r="M44">
        <f t="shared" si="3"/>
        <v>27.552033730188448</v>
      </c>
    </row>
    <row r="45" spans="10:13" ht="12.75">
      <c r="J45">
        <f>J44+10</f>
        <v>361</v>
      </c>
      <c r="M45">
        <f t="shared" si="3"/>
        <v>26.80828027845988</v>
      </c>
    </row>
    <row r="46" spans="10:13" ht="13.5" thickBot="1">
      <c r="J46">
        <f>J45+10</f>
        <v>371</v>
      </c>
      <c r="M46">
        <f t="shared" si="3"/>
        <v>26.103120570551848</v>
      </c>
    </row>
    <row r="47" spans="3:13" ht="12.75">
      <c r="C47" s="1"/>
      <c r="D47" s="25" t="s">
        <v>102</v>
      </c>
      <c r="E47" s="7"/>
      <c r="F47" s="7"/>
      <c r="G47" s="7"/>
      <c r="H47" s="8"/>
      <c r="J47">
        <v>376</v>
      </c>
      <c r="M47">
        <f t="shared" si="3"/>
        <v>25.764099440105866</v>
      </c>
    </row>
    <row r="48" spans="3:13" ht="12.75">
      <c r="C48" s="3"/>
      <c r="D48" s="9" t="s">
        <v>17</v>
      </c>
      <c r="E48" s="10"/>
      <c r="F48" s="10">
        <v>0.37</v>
      </c>
      <c r="G48" s="10"/>
      <c r="H48" s="11"/>
      <c r="J48">
        <v>390</v>
      </c>
      <c r="M48">
        <f t="shared" si="3"/>
        <v>24.859521075818893</v>
      </c>
    </row>
    <row r="49" spans="2:13" ht="12.75">
      <c r="B49" s="3"/>
      <c r="C49" s="3"/>
      <c r="D49" s="9" t="s">
        <v>0</v>
      </c>
      <c r="E49" s="10"/>
      <c r="F49" s="10">
        <v>0.002</v>
      </c>
      <c r="G49" s="46">
        <f>D34/F49*(F48/D35)^2*F50</f>
        <v>261.7677734375</v>
      </c>
      <c r="H49" s="28" t="s">
        <v>10</v>
      </c>
      <c r="I49" s="10"/>
      <c r="J49">
        <v>394</v>
      </c>
      <c r="M49">
        <f t="shared" si="3"/>
        <v>24.612490261260398</v>
      </c>
    </row>
    <row r="50" spans="4:8" ht="13.5" thickBot="1">
      <c r="D50" s="13" t="s">
        <v>18</v>
      </c>
      <c r="E50" s="14"/>
      <c r="F50" s="14">
        <v>55</v>
      </c>
      <c r="G50" s="14"/>
      <c r="H50" s="15"/>
    </row>
    <row r="51" spans="4:8" ht="12.75">
      <c r="D51" s="10"/>
      <c r="E51" s="10"/>
      <c r="F51" s="10"/>
      <c r="G51" s="10"/>
      <c r="H51" s="10"/>
    </row>
    <row r="52" spans="4:8" ht="12.75">
      <c r="D52" s="10"/>
      <c r="E52" s="10"/>
      <c r="F52" s="10"/>
      <c r="G52" s="10"/>
      <c r="H52" s="10"/>
    </row>
    <row r="53" spans="4:8" ht="12.75">
      <c r="D53" s="10"/>
      <c r="E53" s="10"/>
      <c r="F53" s="10"/>
      <c r="G53" s="10"/>
      <c r="H53" s="10"/>
    </row>
    <row r="54" spans="4:8" ht="12.75">
      <c r="D54" s="10"/>
      <c r="E54" s="10"/>
      <c r="F54" s="10"/>
      <c r="G54" s="10"/>
      <c r="H54" s="10"/>
    </row>
    <row r="56" ht="12.75">
      <c r="F56" t="s">
        <v>82</v>
      </c>
    </row>
    <row r="57" ht="12.75">
      <c r="H57" t="s">
        <v>78</v>
      </c>
    </row>
    <row r="58" spans="1:6" ht="12.75">
      <c r="A58" s="16" t="s">
        <v>50</v>
      </c>
      <c r="E58" t="s">
        <v>80</v>
      </c>
      <c r="F58" t="s">
        <v>81</v>
      </c>
    </row>
    <row r="59" spans="1:7" ht="12.75">
      <c r="G59" t="s">
        <v>79</v>
      </c>
    </row>
    <row r="60" spans="1:6" ht="12.75">
      <c r="F60" s="2"/>
    </row>
    <row r="61" spans="1:8" ht="12.75">
      <c r="A61" t="s">
        <v>55</v>
      </c>
      <c r="B61" s="3">
        <v>75</v>
      </c>
      <c r="C61" s="3" t="s">
        <v>57</v>
      </c>
      <c r="D61">
        <f>B61/1000</f>
        <v>0.075</v>
      </c>
      <c r="E61" s="10"/>
      <c r="F61" s="10" t="s">
        <v>46</v>
      </c>
      <c r="G61" s="52">
        <f>B64*PI()*D61^2*D62</f>
        <v>2.9184414004144927</v>
      </c>
      <c r="H61" t="s">
        <v>15</v>
      </c>
    </row>
    <row r="62" spans="1:7" ht="12.75">
      <c r="A62" t="s">
        <v>0</v>
      </c>
      <c r="B62" s="3">
        <v>75</v>
      </c>
      <c r="C62" s="3" t="s">
        <v>57</v>
      </c>
      <c r="D62">
        <f>B62/1000</f>
        <v>0.075</v>
      </c>
      <c r="E62" s="10"/>
      <c r="F62" s="10" t="s">
        <v>47</v>
      </c>
      <c r="G62" s="51">
        <f>G61*D61^2/2</f>
        <v>0.008208116438665761</v>
      </c>
    </row>
    <row r="63" spans="1:7" ht="12.75">
      <c r="A63" t="s">
        <v>54</v>
      </c>
      <c r="B63" s="3">
        <v>50</v>
      </c>
      <c r="C63" s="3" t="s">
        <v>57</v>
      </c>
      <c r="D63">
        <f>B63/1000</f>
        <v>0.05</v>
      </c>
      <c r="E63" s="10"/>
      <c r="F63" s="10" t="s">
        <v>48</v>
      </c>
      <c r="G63" s="51">
        <f>G61*(D61^2/4+D62^2/12)</f>
        <v>0.005472077625777174</v>
      </c>
    </row>
    <row r="64" spans="1:7" ht="12.75">
      <c r="A64" t="s">
        <v>70</v>
      </c>
      <c r="B64" s="3">
        <v>2202</v>
      </c>
      <c r="C64" s="27"/>
      <c r="F64" s="10" t="s">
        <v>49</v>
      </c>
      <c r="G64" s="51">
        <f>G63</f>
        <v>0.005472077625777174</v>
      </c>
    </row>
    <row r="65" ht="12.75"/>
    <row r="66" spans="1:3" ht="13.5" thickBot="1">
      <c r="A66" t="s">
        <v>71</v>
      </c>
      <c r="B66">
        <f>D63/2</f>
        <v>0.025</v>
      </c>
      <c r="C66" t="s">
        <v>11</v>
      </c>
    </row>
    <row r="67" spans="1:8" ht="12.75">
      <c r="A67" t="s">
        <v>56</v>
      </c>
      <c r="B67" s="53">
        <f>(D61^2-B66^2)^0.5</f>
        <v>0.07071067811865475</v>
      </c>
      <c r="C67" t="s">
        <v>11</v>
      </c>
      <c r="E67" s="25" t="s">
        <v>61</v>
      </c>
      <c r="F67" s="47">
        <f>1000*(D61-B67)</f>
        <v>4.289321881345246</v>
      </c>
      <c r="G67" s="29" t="s">
        <v>57</v>
      </c>
      <c r="H67" s="12"/>
    </row>
    <row r="68" spans="1:7" ht="13.5" thickBot="1">
      <c r="A68" t="s">
        <v>58</v>
      </c>
      <c r="B68" s="54">
        <f>ASIN(B66/D61)*180/PI()</f>
        <v>19.471220634490695</v>
      </c>
      <c r="E68" s="48" t="s">
        <v>88</v>
      </c>
      <c r="F68" s="49">
        <f>((2*B68*PI()*D61^2)/360-(B67*B66))*B64*1000*D62</f>
        <v>23.75115669706305</v>
      </c>
      <c r="G68" s="33" t="s">
        <v>59</v>
      </c>
    </row>
    <row r="70" ht="12.75">
      <c r="A70" s="4" t="s">
        <v>83</v>
      </c>
    </row>
    <row r="71" spans="1:5" ht="12.75">
      <c r="A71" s="4"/>
      <c r="D71" t="s">
        <v>47</v>
      </c>
      <c r="E71" s="61">
        <f>(B73/1000)*(D62^2+D63^2)/12</f>
        <v>1.62139453125E-05</v>
      </c>
    </row>
    <row r="72" spans="1:8" ht="12.75">
      <c r="A72" s="3" t="s">
        <v>62</v>
      </c>
      <c r="B72" s="3">
        <v>0.0029</v>
      </c>
      <c r="D72" t="s">
        <v>48</v>
      </c>
      <c r="E72">
        <f>(1/12*(B73/1000)*(B72^2+D63^2))+((B73/1000)*B74^2)</f>
        <v>0.00013454808759750001</v>
      </c>
      <c r="F72" s="64" t="s">
        <v>86</v>
      </c>
      <c r="G72" s="65" t="s">
        <v>87</v>
      </c>
      <c r="H72" s="12"/>
    </row>
    <row r="73" spans="1:7" ht="12.75">
      <c r="A73" s="63" t="s">
        <v>60</v>
      </c>
      <c r="B73" s="63">
        <f>B64*D63*D62*B72*1000</f>
        <v>23.946749999999998</v>
      </c>
      <c r="C73" t="s">
        <v>59</v>
      </c>
      <c r="D73" t="s">
        <v>49</v>
      </c>
      <c r="E73">
        <f>(1/12*(B73/1000)*(B72^2+D62^2))+((B73/1000)*B74^2)</f>
        <v>0.00014078422041000004</v>
      </c>
      <c r="G73" s="63" t="s">
        <v>88</v>
      </c>
    </row>
    <row r="74" spans="1:3" ht="12.75">
      <c r="A74" t="s">
        <v>63</v>
      </c>
      <c r="B74">
        <f>D61-B72/2</f>
        <v>0.07355</v>
      </c>
      <c r="C74" t="s">
        <v>11</v>
      </c>
    </row>
    <row r="75" ht="13.5" thickBot="1"/>
    <row r="76" spans="1:7" ht="12.75">
      <c r="A76" s="4" t="s">
        <v>92</v>
      </c>
      <c r="E76" s="25" t="s">
        <v>46</v>
      </c>
      <c r="F76" s="68">
        <f>G61-2*(F68/1000)</f>
        <v>2.870939087020367</v>
      </c>
      <c r="G76" s="29" t="s">
        <v>15</v>
      </c>
    </row>
    <row r="77" spans="1:8" ht="12.75">
      <c r="A77" s="4" t="s">
        <v>85</v>
      </c>
      <c r="E77" s="35" t="s">
        <v>47</v>
      </c>
      <c r="F77" s="44">
        <f>G62-2*E71</f>
        <v>0.00817568854804076</v>
      </c>
      <c r="G77" s="28"/>
      <c r="H77" s="12"/>
    </row>
    <row r="78" spans="5:7" ht="12.75">
      <c r="E78" s="35" t="s">
        <v>48</v>
      </c>
      <c r="F78" s="43">
        <f>G63-2*E72</f>
        <v>0.005202981450582174</v>
      </c>
      <c r="G78" s="11"/>
    </row>
    <row r="79" spans="5:7" ht="13.5" thickBot="1">
      <c r="E79" s="48" t="s">
        <v>49</v>
      </c>
      <c r="F79" s="59">
        <f>G64-2*E73</f>
        <v>0.005190509184957174</v>
      </c>
      <c r="G79" s="33"/>
    </row>
    <row r="80" spans="5:7" ht="12.75">
      <c r="E80" s="12"/>
      <c r="F80" s="43"/>
      <c r="G80" s="12"/>
    </row>
    <row r="81" spans="5:7" ht="12.75">
      <c r="E81" s="12"/>
      <c r="F81" s="43"/>
      <c r="G81" s="12"/>
    </row>
    <row r="82" spans="5:8" ht="12.75">
      <c r="E82" s="12"/>
      <c r="F82" s="10" t="s">
        <v>46</v>
      </c>
      <c r="G82" s="52">
        <f>G61</f>
        <v>2.9184414004144927</v>
      </c>
      <c r="H82" t="s">
        <v>15</v>
      </c>
    </row>
    <row r="83" spans="5:7" ht="12.75">
      <c r="E83" s="12"/>
      <c r="F83" s="10" t="s">
        <v>47</v>
      </c>
      <c r="G83" s="51">
        <f>G62</f>
        <v>0.008208116438665761</v>
      </c>
    </row>
    <row r="84" spans="5:7" ht="12.75">
      <c r="E84" s="12"/>
      <c r="F84" s="10" t="s">
        <v>48</v>
      </c>
      <c r="G84" s="51">
        <f>G63</f>
        <v>0.005472077625777174</v>
      </c>
    </row>
    <row r="85" spans="5:7" ht="12.75">
      <c r="E85" s="12"/>
      <c r="F85" s="10" t="s">
        <v>49</v>
      </c>
      <c r="G85" s="51">
        <f>G64</f>
        <v>0.005472077625777174</v>
      </c>
    </row>
    <row r="86" spans="1:7" ht="12.75">
      <c r="A86" s="16" t="s">
        <v>73</v>
      </c>
      <c r="B86" s="16" t="s">
        <v>44</v>
      </c>
      <c r="E86" s="12"/>
      <c r="F86" s="43"/>
      <c r="G86" s="12"/>
    </row>
    <row r="87" spans="1:8" ht="12.75">
      <c r="A87" s="10" t="s">
        <v>74</v>
      </c>
      <c r="B87" s="3">
        <v>75</v>
      </c>
      <c r="C87" s="21" t="s">
        <v>57</v>
      </c>
      <c r="D87" s="62">
        <f>B87/1000</f>
        <v>0.075</v>
      </c>
      <c r="E87" s="50"/>
      <c r="F87" s="10" t="s">
        <v>46</v>
      </c>
      <c r="G87" s="10">
        <f>B91*PI()*D87^2*D89-B91*PI()*D88^2*D89</f>
        <v>2.9270297293312444</v>
      </c>
      <c r="H87" s="10" t="s">
        <v>15</v>
      </c>
    </row>
    <row r="88" spans="1:8" ht="12.75">
      <c r="A88" t="s">
        <v>75</v>
      </c>
      <c r="B88" s="3">
        <v>32</v>
      </c>
      <c r="C88" s="21" t="s">
        <v>57</v>
      </c>
      <c r="D88" s="62">
        <f>B88/1000</f>
        <v>0.032</v>
      </c>
      <c r="E88" s="10"/>
      <c r="F88" s="10" t="s">
        <v>47</v>
      </c>
      <c r="G88" s="10">
        <f>B92*D87^2/2-B93*D88^2/2</f>
        <v>0.00973091033516172</v>
      </c>
      <c r="H88" s="10"/>
    </row>
    <row r="89" spans="1:8" ht="12.75">
      <c r="A89" s="10" t="s">
        <v>0</v>
      </c>
      <c r="B89" s="3">
        <v>75</v>
      </c>
      <c r="C89" s="21" t="s">
        <v>57</v>
      </c>
      <c r="D89" s="62">
        <f>B89/1000</f>
        <v>0.075</v>
      </c>
      <c r="E89" s="10"/>
      <c r="F89" s="10" t="s">
        <v>48</v>
      </c>
      <c r="G89" s="10">
        <f>B92*(D87^2/4+D89^2/12)-B93*(D88^2/4+D89^2/12)</f>
        <v>0.006237500353204881</v>
      </c>
      <c r="H89" s="10"/>
    </row>
    <row r="90" spans="1:7" ht="12.75">
      <c r="A90" t="s">
        <v>54</v>
      </c>
      <c r="B90" s="3">
        <v>50</v>
      </c>
      <c r="C90" s="21" t="s">
        <v>57</v>
      </c>
      <c r="D90" s="62">
        <f>B90/1000</f>
        <v>0.05</v>
      </c>
      <c r="E90" s="10"/>
      <c r="F90" s="10" t="s">
        <v>49</v>
      </c>
      <c r="G90" s="10">
        <f>G89</f>
        <v>0.006237500353204881</v>
      </c>
    </row>
    <row r="91" spans="1:10" ht="12.75">
      <c r="A91" s="10" t="s">
        <v>45</v>
      </c>
      <c r="B91" s="21">
        <v>2700</v>
      </c>
      <c r="C91" s="10"/>
      <c r="D91" s="10"/>
      <c r="E91" s="10"/>
      <c r="I91" s="10"/>
      <c r="J91" s="10"/>
    </row>
    <row r="92" spans="1:10" ht="13.5" thickBot="1">
      <c r="A92" t="s">
        <v>76</v>
      </c>
      <c r="B92" s="10">
        <f>B91*PI()*D87^2*D89</f>
        <v>3.5784703819796237</v>
      </c>
      <c r="C92" s="10" t="s">
        <v>15</v>
      </c>
      <c r="D92" s="10"/>
      <c r="E92" s="10"/>
      <c r="F92" s="12"/>
      <c r="G92" s="45"/>
      <c r="H92" s="12"/>
      <c r="I92" s="10">
        <v>2.92</v>
      </c>
      <c r="J92" s="10"/>
    </row>
    <row r="93" spans="1:10" ht="12.75">
      <c r="A93" t="s">
        <v>77</v>
      </c>
      <c r="B93" s="10">
        <f>B91*PI()*D88^2*D89</f>
        <v>0.6514406526483795</v>
      </c>
      <c r="C93" t="s">
        <v>15</v>
      </c>
      <c r="E93" s="25" t="s">
        <v>61</v>
      </c>
      <c r="F93" s="47">
        <f>1000*(D87-B96)</f>
        <v>4.289321881345246</v>
      </c>
      <c r="G93" s="29" t="s">
        <v>57</v>
      </c>
      <c r="I93" s="10">
        <v>2.92</v>
      </c>
      <c r="J93" s="10"/>
    </row>
    <row r="94" spans="1:10" ht="13.5" thickBot="1">
      <c r="A94" s="4" t="s">
        <v>83</v>
      </c>
      <c r="E94" s="48" t="s">
        <v>88</v>
      </c>
      <c r="F94" s="49">
        <f>((2*B97*PI()*D87^2)/360-(B96*B95))*B91*1000*D89</f>
        <v>29.122671699396108</v>
      </c>
      <c r="G94" s="33" t="s">
        <v>59</v>
      </c>
      <c r="I94" s="10">
        <f>I93+I92</f>
        <v>5.84</v>
      </c>
      <c r="J94" s="10"/>
    </row>
    <row r="95" spans="1:10" ht="12.75">
      <c r="A95" t="s">
        <v>71</v>
      </c>
      <c r="B95">
        <f>D90/2</f>
        <v>0.025</v>
      </c>
      <c r="C95" t="s">
        <v>11</v>
      </c>
      <c r="I95" s="10"/>
      <c r="J95" s="10"/>
    </row>
    <row r="96" spans="1:10" ht="12.75">
      <c r="A96" t="s">
        <v>56</v>
      </c>
      <c r="B96" s="53">
        <f>(D87^2-B95^2)^0.5</f>
        <v>0.07071067811865475</v>
      </c>
      <c r="C96" t="s">
        <v>11</v>
      </c>
      <c r="D96" t="s">
        <v>47</v>
      </c>
      <c r="E96" s="60">
        <f>(B99/1000)*(D89^2+D90^2)/12</f>
        <v>1.9880859375E-05</v>
      </c>
      <c r="I96" s="10"/>
      <c r="J96" s="10"/>
    </row>
    <row r="97" spans="1:10" ht="12.75">
      <c r="A97" t="s">
        <v>58</v>
      </c>
      <c r="B97" s="54">
        <f>ASIN(B95/D87)*180/PI()</f>
        <v>19.471220634490695</v>
      </c>
      <c r="D97" t="s">
        <v>48</v>
      </c>
      <c r="E97" s="60">
        <f>(1/12*(B99/1000)*(B98^2+D90^2))+((B99/1000)*B100^2)</f>
        <v>0.000164977219125</v>
      </c>
      <c r="I97" s="10"/>
      <c r="J97" s="10"/>
    </row>
    <row r="98" spans="1:10" ht="12.75">
      <c r="A98" s="3" t="s">
        <v>62</v>
      </c>
      <c r="B98" s="3">
        <v>0.0029</v>
      </c>
      <c r="D98" t="s">
        <v>49</v>
      </c>
      <c r="E98" s="60">
        <f>(1/12*(B99/1000)*(B98^2+D89^2))+((B99/1000)*B100^2)</f>
        <v>0.0001726237035</v>
      </c>
      <c r="F98" s="64" t="s">
        <v>86</v>
      </c>
      <c r="G98" s="65" t="s">
        <v>87</v>
      </c>
      <c r="H98" s="12"/>
      <c r="I98" s="10"/>
      <c r="J98" s="10"/>
    </row>
    <row r="99" spans="1:10" ht="13.5" thickBot="1">
      <c r="A99" s="63" t="s">
        <v>60</v>
      </c>
      <c r="B99" s="63">
        <f>D89*B91*D90*B98*1000</f>
        <v>29.3625</v>
      </c>
      <c r="C99" t="s">
        <v>59</v>
      </c>
      <c r="G99" s="63" t="s">
        <v>88</v>
      </c>
      <c r="I99" s="10"/>
      <c r="J99" s="10"/>
    </row>
    <row r="100" spans="1:10" ht="12.75">
      <c r="A100" t="s">
        <v>63</v>
      </c>
      <c r="B100">
        <f>D87-B98/2</f>
        <v>0.07355</v>
      </c>
      <c r="C100" t="s">
        <v>11</v>
      </c>
      <c r="E100" s="25" t="s">
        <v>46</v>
      </c>
      <c r="F100" s="69">
        <f>G87-2*(F94/1000)</f>
        <v>2.868784385932452</v>
      </c>
      <c r="G100" s="29" t="s">
        <v>15</v>
      </c>
      <c r="H100" s="55"/>
      <c r="I100" s="10"/>
      <c r="J100" s="10"/>
    </row>
    <row r="101" spans="5:10" ht="12.75">
      <c r="E101" s="35" t="s">
        <v>47</v>
      </c>
      <c r="F101" s="44">
        <f>G88-2*E96</f>
        <v>0.00969114861641172</v>
      </c>
      <c r="G101" s="28"/>
      <c r="I101" s="10"/>
      <c r="J101" s="10"/>
    </row>
    <row r="102" spans="1:10" ht="12.75">
      <c r="A102" s="4" t="s">
        <v>84</v>
      </c>
      <c r="E102" s="35" t="s">
        <v>48</v>
      </c>
      <c r="F102" s="43">
        <f>G89-2*E97</f>
        <v>0.005907545914954881</v>
      </c>
      <c r="G102" s="11"/>
      <c r="I102" s="10"/>
      <c r="J102" s="10"/>
    </row>
    <row r="103" spans="5:10" ht="13.5" thickBot="1">
      <c r="E103" s="48" t="s">
        <v>49</v>
      </c>
      <c r="F103" s="59">
        <f>G90-2*E98</f>
        <v>0.005892252946204881</v>
      </c>
      <c r="G103" s="33"/>
      <c r="I103" s="10"/>
      <c r="J103" s="10"/>
    </row>
    <row r="104" spans="9:10" ht="12.75">
      <c r="I104" s="10"/>
      <c r="J104" s="10"/>
    </row>
    <row r="105" spans="9:10" ht="12.75">
      <c r="I105" s="10"/>
      <c r="J105" s="10"/>
    </row>
    <row r="106" spans="9:10" ht="12.75">
      <c r="I106" s="10"/>
      <c r="J106" s="10"/>
    </row>
    <row r="107" spans="9:10" ht="12.75">
      <c r="I107" s="10"/>
      <c r="J107" s="10"/>
    </row>
    <row r="108" spans="9:10" ht="12.75">
      <c r="I108" s="10"/>
      <c r="J108" s="10"/>
    </row>
    <row r="111" spans="1:8" ht="12.75">
      <c r="A111" s="10"/>
      <c r="B111" s="10"/>
      <c r="D111" s="10"/>
      <c r="H111" s="12"/>
    </row>
    <row r="112" spans="1:2" ht="12.75">
      <c r="A112" s="10"/>
      <c r="B112" s="10"/>
    </row>
    <row r="113" spans="1:2" ht="12.75">
      <c r="A113" s="10"/>
      <c r="B113" s="10"/>
    </row>
    <row r="114" spans="1:2" ht="12.75">
      <c r="A114" s="10"/>
      <c r="B114" s="10"/>
    </row>
    <row r="115" spans="1:2" ht="12.75">
      <c r="A115" s="10"/>
      <c r="B115" s="10"/>
    </row>
    <row r="116" spans="1:2" ht="12.75">
      <c r="A116" s="10"/>
      <c r="B116" s="10"/>
    </row>
    <row r="117" spans="1:8" ht="12.75">
      <c r="A117" s="10"/>
      <c r="B117" s="10"/>
      <c r="F117" s="12"/>
      <c r="G117" s="43"/>
      <c r="H117" s="12"/>
    </row>
    <row r="118" ht="12.75">
      <c r="A118" t="s">
        <v>52</v>
      </c>
    </row>
    <row r="119" ht="13.5" thickBot="1"/>
    <row r="120" spans="1:8" ht="12.75">
      <c r="A120" s="19" t="s">
        <v>19</v>
      </c>
      <c r="B120" s="7"/>
      <c r="C120" s="7"/>
      <c r="D120" s="7"/>
      <c r="E120" s="7"/>
      <c r="F120" s="7"/>
      <c r="G120" s="7"/>
      <c r="H120" s="8"/>
    </row>
    <row r="121" spans="1:8" ht="12.75">
      <c r="A121" s="9"/>
      <c r="B121" s="10"/>
      <c r="C121" s="10"/>
      <c r="D121" s="10"/>
      <c r="E121" s="10"/>
      <c r="F121" s="10"/>
      <c r="G121" s="10"/>
      <c r="H121" s="11"/>
    </row>
    <row r="122" spans="1:8" ht="12.75">
      <c r="A122" s="9" t="s">
        <v>29</v>
      </c>
      <c r="B122">
        <v>0</v>
      </c>
      <c r="C122" s="21"/>
      <c r="D122" s="10"/>
      <c r="E122" s="10"/>
      <c r="F122" s="10"/>
      <c r="G122" s="10"/>
      <c r="H122" s="11"/>
    </row>
    <row r="123" spans="1:8" ht="12.75">
      <c r="A123" s="9" t="s">
        <v>30</v>
      </c>
      <c r="B123" s="3">
        <v>3</v>
      </c>
      <c r="C123" s="21"/>
      <c r="D123" s="10"/>
      <c r="E123" s="10"/>
      <c r="F123" s="10"/>
      <c r="G123" s="10"/>
      <c r="H123" s="11"/>
    </row>
    <row r="124" spans="1:8" ht="12.75">
      <c r="A124" s="9" t="s">
        <v>31</v>
      </c>
      <c r="B124" s="3">
        <v>3</v>
      </c>
      <c r="C124" s="21"/>
      <c r="D124" s="10"/>
      <c r="E124" s="10"/>
      <c r="F124" s="10"/>
      <c r="G124" s="10"/>
      <c r="H124" s="11"/>
    </row>
    <row r="125" spans="1:8" ht="12.75">
      <c r="A125" s="9" t="s">
        <v>20</v>
      </c>
      <c r="B125" s="10">
        <f>B124+B123+B122</f>
        <v>6</v>
      </c>
      <c r="C125" s="10" t="s">
        <v>15</v>
      </c>
      <c r="E125" s="10"/>
      <c r="F125" s="16" t="s">
        <v>25</v>
      </c>
      <c r="G125" s="10"/>
      <c r="H125" s="11"/>
    </row>
    <row r="126" spans="1:8" ht="12.75">
      <c r="A126" s="9" t="s">
        <v>21</v>
      </c>
      <c r="B126" s="21">
        <v>4</v>
      </c>
      <c r="C126" s="21"/>
      <c r="D126" s="10"/>
      <c r="E126" s="10"/>
      <c r="F126" s="10"/>
      <c r="G126" s="10"/>
      <c r="H126" s="11"/>
    </row>
    <row r="127" spans="1:8" ht="12.75">
      <c r="A127" s="9" t="s">
        <v>22</v>
      </c>
      <c r="B127" s="10">
        <v>9.81</v>
      </c>
      <c r="C127" s="10"/>
      <c r="D127" s="10"/>
      <c r="E127" s="10"/>
      <c r="F127" s="10" t="s">
        <v>23</v>
      </c>
      <c r="G127" s="10">
        <f>(B125*B127*3/B126/PI()/B129)^0.5</f>
        <v>8.382061180158327E-05</v>
      </c>
      <c r="H127" s="11"/>
    </row>
    <row r="128" spans="1:8" ht="12.75">
      <c r="A128" s="9" t="s">
        <v>24</v>
      </c>
      <c r="B128" s="22"/>
      <c r="C128" s="22"/>
      <c r="D128" s="10"/>
      <c r="E128" s="10"/>
      <c r="F128" s="10"/>
      <c r="G128" s="10">
        <f>G127*1000000</f>
        <v>83.82061180158327</v>
      </c>
      <c r="H128" s="11"/>
    </row>
    <row r="129" spans="1:8" ht="13.5" thickBot="1">
      <c r="A129" s="23" t="s">
        <v>42</v>
      </c>
      <c r="B129" s="22">
        <v>2000000000</v>
      </c>
      <c r="C129" s="22"/>
      <c r="D129" s="14"/>
      <c r="E129" s="14"/>
      <c r="F129" s="14"/>
      <c r="G129" s="14"/>
      <c r="H129" s="15"/>
    </row>
    <row r="130" spans="1:8" ht="12.75">
      <c r="A130" s="9"/>
      <c r="B130" s="10"/>
      <c r="C130" s="10"/>
      <c r="D130" s="10"/>
      <c r="E130" s="10"/>
      <c r="F130" s="10"/>
      <c r="G130" s="10"/>
      <c r="H130" s="11"/>
    </row>
    <row r="131" spans="1:8" ht="12.75">
      <c r="A131" s="9" t="s">
        <v>26</v>
      </c>
      <c r="B131" s="10"/>
      <c r="C131" s="10"/>
      <c r="D131" s="10">
        <v>177</v>
      </c>
      <c r="E131" s="10"/>
      <c r="F131" s="10">
        <f>D131/1000000</f>
        <v>0.000177</v>
      </c>
      <c r="G131" s="17"/>
      <c r="H131" s="11"/>
    </row>
    <row r="132" spans="1:8" ht="12.75">
      <c r="A132" s="9"/>
      <c r="B132" s="10"/>
      <c r="C132" s="10"/>
      <c r="D132" s="10"/>
      <c r="E132" s="10"/>
      <c r="F132" s="10"/>
      <c r="G132" s="10"/>
      <c r="H132" s="20"/>
    </row>
    <row r="133" spans="1:8" ht="12.75">
      <c r="A133" s="9" t="s">
        <v>27</v>
      </c>
      <c r="B133" s="10"/>
      <c r="C133" s="10"/>
      <c r="D133" s="10">
        <f>B125*B127/B126/PI()/(F131)^2</f>
        <v>149507803.4790284</v>
      </c>
      <c r="E133" s="10"/>
      <c r="F133" s="10"/>
      <c r="G133" s="10"/>
      <c r="H133" s="11"/>
    </row>
    <row r="134" spans="1:8" ht="12.75">
      <c r="A134" s="9"/>
      <c r="B134" s="10"/>
      <c r="C134" s="10"/>
      <c r="D134" s="10"/>
      <c r="E134" s="10"/>
      <c r="F134" s="10"/>
      <c r="G134" s="10"/>
      <c r="H134" s="11"/>
    </row>
    <row r="135" spans="1:8" ht="13.5" thickBot="1">
      <c r="A135" s="13" t="s">
        <v>28</v>
      </c>
      <c r="B135" s="14"/>
      <c r="C135" s="14"/>
      <c r="D135" s="66">
        <f>(D133/B129)*100</f>
        <v>7.4753901739514195</v>
      </c>
      <c r="E135" s="14" t="s">
        <v>89</v>
      </c>
      <c r="F135" s="14"/>
      <c r="G135" s="14"/>
      <c r="H135" s="15"/>
    </row>
    <row r="136" spans="1:8" ht="12.75">
      <c r="A136" s="10"/>
      <c r="B136" s="10"/>
      <c r="C136" s="10"/>
      <c r="D136" s="17"/>
      <c r="E136" s="10"/>
      <c r="F136" s="10"/>
      <c r="G136" s="10"/>
      <c r="H136" s="10"/>
    </row>
    <row r="137" ht="13.5" thickBot="1"/>
    <row r="138" spans="1:8" ht="12.75">
      <c r="A138" t="s">
        <v>37</v>
      </c>
      <c r="B138" t="s">
        <v>43</v>
      </c>
      <c r="D138" t="s">
        <v>53</v>
      </c>
      <c r="F138" s="1"/>
      <c r="G138" s="6" t="s">
        <v>100</v>
      </c>
      <c r="H138" s="8"/>
    </row>
    <row r="139" spans="1:8" ht="12.75">
      <c r="A139" t="s">
        <v>38</v>
      </c>
      <c r="B139">
        <v>6</v>
      </c>
      <c r="D139">
        <f>B139*0.0254/2*1000</f>
        <v>76.19999999999999</v>
      </c>
      <c r="E139" t="s">
        <v>40</v>
      </c>
      <c r="G139" s="9"/>
      <c r="H139" s="11"/>
    </row>
    <row r="140" spans="1:8" ht="12.75">
      <c r="A140" t="s">
        <v>39</v>
      </c>
      <c r="B140">
        <v>8</v>
      </c>
      <c r="D140">
        <f aca="true" t="shared" si="4" ref="D140:D148">B140*0.0254/2*1000</f>
        <v>101.6</v>
      </c>
      <c r="E140" t="s">
        <v>40</v>
      </c>
      <c r="G140" s="9" t="s">
        <v>98</v>
      </c>
      <c r="H140" s="11">
        <v>25</v>
      </c>
    </row>
    <row r="141" spans="1:8" ht="13.5" thickBot="1">
      <c r="A141" t="s">
        <v>41</v>
      </c>
      <c r="B141">
        <v>10</v>
      </c>
      <c r="D141">
        <f t="shared" si="4"/>
        <v>127</v>
      </c>
      <c r="G141" s="13" t="s">
        <v>99</v>
      </c>
      <c r="H141" s="15">
        <f>H140*9.81/(PI()*(F131)^2)</f>
        <v>2491796724.650473</v>
      </c>
    </row>
    <row r="142" spans="2:4" ht="12.75">
      <c r="B142">
        <v>12</v>
      </c>
      <c r="D142">
        <f t="shared" si="4"/>
        <v>152.39999999999998</v>
      </c>
    </row>
    <row r="143" spans="2:4" ht="12.75">
      <c r="B143">
        <v>14</v>
      </c>
      <c r="D143">
        <f t="shared" si="4"/>
        <v>177.79999999999998</v>
      </c>
    </row>
    <row r="144" spans="2:4" ht="12.75">
      <c r="B144">
        <v>16</v>
      </c>
      <c r="D144">
        <f t="shared" si="4"/>
        <v>203.2</v>
      </c>
    </row>
    <row r="145" spans="2:4" ht="12.75">
      <c r="B145">
        <v>18</v>
      </c>
      <c r="D145">
        <f t="shared" si="4"/>
        <v>228.6</v>
      </c>
    </row>
    <row r="146" spans="2:4" ht="12.75">
      <c r="B146">
        <v>20</v>
      </c>
      <c r="D146">
        <f t="shared" si="4"/>
        <v>254</v>
      </c>
    </row>
    <row r="147" spans="2:4" ht="12.75">
      <c r="B147">
        <v>22</v>
      </c>
      <c r="D147">
        <f t="shared" si="4"/>
        <v>279.4</v>
      </c>
    </row>
    <row r="148" spans="2:4" ht="12.75">
      <c r="B148">
        <v>24</v>
      </c>
      <c r="D148">
        <f t="shared" si="4"/>
        <v>304.79999999999995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gravitational waves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calum</dc:creator>
  <cp:keywords/>
  <dc:description/>
  <cp:lastModifiedBy>Norna Robertson</cp:lastModifiedBy>
  <cp:lastPrinted>2001-10-31T16:39:39Z</cp:lastPrinted>
  <dcterms:created xsi:type="dcterms:W3CDTF">1999-12-02T14:58:15Z</dcterms:created>
  <dcterms:modified xsi:type="dcterms:W3CDTF">2019-03-15T15:30:42Z</dcterms:modified>
  <cp:category/>
  <cp:version/>
  <cp:contentType/>
  <cp:contentStatus/>
</cp:coreProperties>
</file>