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Analog\Heater\HeaterDriver\Project Outputs for HeaterDriver\"/>
    </mc:Choice>
  </mc:AlternateContent>
  <xr:revisionPtr revIDLastSave="0" documentId="13_ncr:1_{692A7D28-6D32-4006-BE75-1A743EBABF4C}" xr6:coauthVersionLast="47" xr6:coauthVersionMax="47" xr10:uidLastSave="{00000000-0000-0000-0000-000000000000}"/>
  <bookViews>
    <workbookView xWindow="4560" yWindow="1370" windowWidth="33380" windowHeight="2023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6" i="3" l="1"/>
  <c r="L76" i="3"/>
  <c r="M75" i="3"/>
  <c r="L75" i="3"/>
  <c r="M74" i="3"/>
  <c r="N74" i="3" s="1"/>
  <c r="O74" i="3" s="1"/>
  <c r="L74" i="3"/>
  <c r="M73" i="3"/>
  <c r="L73" i="3"/>
  <c r="M72" i="3"/>
  <c r="N72" i="3" s="1"/>
  <c r="O72" i="3" s="1"/>
  <c r="L72" i="3"/>
  <c r="M71" i="3"/>
  <c r="L71" i="3"/>
  <c r="M70" i="3"/>
  <c r="N70" i="3" s="1"/>
  <c r="O70" i="3" s="1"/>
  <c r="L70" i="3"/>
  <c r="M69" i="3"/>
  <c r="L69" i="3"/>
  <c r="M68" i="3"/>
  <c r="N68" i="3" s="1"/>
  <c r="O68" i="3" s="1"/>
  <c r="L68" i="3"/>
  <c r="M67" i="3"/>
  <c r="L67" i="3"/>
  <c r="M66" i="3"/>
  <c r="N66" i="3" s="1"/>
  <c r="O66" i="3" s="1"/>
  <c r="L66" i="3"/>
  <c r="M65" i="3"/>
  <c r="L65" i="3"/>
  <c r="M64" i="3"/>
  <c r="N64" i="3" s="1"/>
  <c r="O64" i="3" s="1"/>
  <c r="L64" i="3"/>
  <c r="M63" i="3"/>
  <c r="N63" i="3" s="1"/>
  <c r="O63" i="3" s="1"/>
  <c r="L63" i="3"/>
  <c r="M62" i="3"/>
  <c r="N62" i="3" s="1"/>
  <c r="O62" i="3" s="1"/>
  <c r="L62" i="3"/>
  <c r="M61" i="3"/>
  <c r="L61" i="3"/>
  <c r="M60" i="3"/>
  <c r="N60" i="3" s="1"/>
  <c r="O60" i="3" s="1"/>
  <c r="L60" i="3"/>
  <c r="M59" i="3"/>
  <c r="N59" i="3" s="1"/>
  <c r="O59" i="3" s="1"/>
  <c r="L59" i="3"/>
  <c r="M58" i="3"/>
  <c r="N58" i="3" s="1"/>
  <c r="O58" i="3" s="1"/>
  <c r="L58" i="3"/>
  <c r="M57" i="3"/>
  <c r="L57" i="3"/>
  <c r="M56" i="3"/>
  <c r="N56" i="3" s="1"/>
  <c r="O56" i="3" s="1"/>
  <c r="L56" i="3"/>
  <c r="M55" i="3"/>
  <c r="N55" i="3" s="1"/>
  <c r="O55" i="3" s="1"/>
  <c r="L55" i="3"/>
  <c r="M54" i="3"/>
  <c r="N54" i="3" s="1"/>
  <c r="O54" i="3" s="1"/>
  <c r="L54" i="3"/>
  <c r="M53" i="3"/>
  <c r="L53" i="3"/>
  <c r="M52" i="3"/>
  <c r="N52" i="3" s="1"/>
  <c r="O52" i="3" s="1"/>
  <c r="L52" i="3"/>
  <c r="M51" i="3"/>
  <c r="N51" i="3" s="1"/>
  <c r="O51" i="3" s="1"/>
  <c r="L51" i="3"/>
  <c r="M50" i="3"/>
  <c r="N50" i="3" s="1"/>
  <c r="O50" i="3" s="1"/>
  <c r="L50" i="3"/>
  <c r="M49" i="3"/>
  <c r="L49" i="3"/>
  <c r="M48" i="3"/>
  <c r="N48" i="3" s="1"/>
  <c r="O48" i="3" s="1"/>
  <c r="L48" i="3"/>
  <c r="M47" i="3"/>
  <c r="N47" i="3" s="1"/>
  <c r="O47" i="3" s="1"/>
  <c r="L47" i="3"/>
  <c r="M46" i="3"/>
  <c r="N46" i="3" s="1"/>
  <c r="O46" i="3" s="1"/>
  <c r="L46" i="3"/>
  <c r="M45" i="3"/>
  <c r="L45" i="3"/>
  <c r="M44" i="3"/>
  <c r="N44" i="3" s="1"/>
  <c r="O44" i="3" s="1"/>
  <c r="L44" i="3"/>
  <c r="M43" i="3"/>
  <c r="N43" i="3" s="1"/>
  <c r="O43" i="3" s="1"/>
  <c r="L43" i="3"/>
  <c r="M42" i="3"/>
  <c r="N42" i="3" s="1"/>
  <c r="O42" i="3" s="1"/>
  <c r="L42" i="3"/>
  <c r="M41" i="3"/>
  <c r="L41" i="3"/>
  <c r="M40" i="3"/>
  <c r="N40" i="3" s="1"/>
  <c r="O40" i="3" s="1"/>
  <c r="L40" i="3"/>
  <c r="M39" i="3"/>
  <c r="L39" i="3"/>
  <c r="M38" i="3"/>
  <c r="L38" i="3"/>
  <c r="M37" i="3"/>
  <c r="L37" i="3"/>
  <c r="M36" i="3"/>
  <c r="N36" i="3" s="1"/>
  <c r="O36" i="3" s="1"/>
  <c r="L36" i="3"/>
  <c r="M35" i="3"/>
  <c r="L35" i="3"/>
  <c r="M34" i="3"/>
  <c r="L34" i="3"/>
  <c r="M33" i="3"/>
  <c r="L33" i="3"/>
  <c r="M32" i="3"/>
  <c r="N32" i="3" s="1"/>
  <c r="O32" i="3" s="1"/>
  <c r="L32" i="3"/>
  <c r="M31" i="3"/>
  <c r="L31" i="3"/>
  <c r="M30" i="3"/>
  <c r="L30" i="3"/>
  <c r="M29" i="3"/>
  <c r="L29" i="3"/>
  <c r="M28" i="3"/>
  <c r="N28" i="3" s="1"/>
  <c r="O28" i="3" s="1"/>
  <c r="L28" i="3"/>
  <c r="M27" i="3"/>
  <c r="L27" i="3"/>
  <c r="N27" i="3" s="1"/>
  <c r="O27" i="3" s="1"/>
  <c r="M26" i="3"/>
  <c r="L26" i="3"/>
  <c r="M25" i="3"/>
  <c r="L25" i="3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L11" i="3"/>
  <c r="M11" i="3"/>
  <c r="M10" i="3"/>
  <c r="L10" i="3"/>
  <c r="G87" i="3"/>
  <c r="G86" i="3"/>
  <c r="G85" i="3"/>
  <c r="G84" i="3"/>
  <c r="G83" i="3"/>
  <c r="G82" i="3"/>
  <c r="B77" i="3"/>
  <c r="F8" i="3"/>
  <c r="G8" i="3"/>
  <c r="N29" i="3" l="1"/>
  <c r="O29" i="3" s="1"/>
  <c r="N33" i="3"/>
  <c r="O33" i="3" s="1"/>
  <c r="N37" i="3"/>
  <c r="O37" i="3" s="1"/>
  <c r="N41" i="3"/>
  <c r="O41" i="3" s="1"/>
  <c r="N45" i="3"/>
  <c r="O45" i="3" s="1"/>
  <c r="N49" i="3"/>
  <c r="O49" i="3" s="1"/>
  <c r="N53" i="3"/>
  <c r="O53" i="3" s="1"/>
  <c r="N57" i="3"/>
  <c r="O57" i="3" s="1"/>
  <c r="N61" i="3"/>
  <c r="O61" i="3" s="1"/>
  <c r="N65" i="3"/>
  <c r="O65" i="3" s="1"/>
  <c r="N69" i="3"/>
  <c r="O69" i="3" s="1"/>
  <c r="N73" i="3"/>
  <c r="O73" i="3" s="1"/>
  <c r="N31" i="3"/>
  <c r="O31" i="3" s="1"/>
  <c r="N35" i="3"/>
  <c r="O35" i="3" s="1"/>
  <c r="N39" i="3"/>
  <c r="O39" i="3" s="1"/>
  <c r="N12" i="3"/>
  <c r="O12" i="3" s="1"/>
  <c r="N16" i="3"/>
  <c r="O16" i="3" s="1"/>
  <c r="N20" i="3"/>
  <c r="O20" i="3" s="1"/>
  <c r="N24" i="3"/>
  <c r="O24" i="3" s="1"/>
  <c r="N34" i="3"/>
  <c r="O34" i="3" s="1"/>
  <c r="N13" i="3"/>
  <c r="O13" i="3" s="1"/>
  <c r="N17" i="3"/>
  <c r="O17" i="3" s="1"/>
  <c r="N21" i="3"/>
  <c r="O21" i="3" s="1"/>
  <c r="N25" i="3"/>
  <c r="O25" i="3" s="1"/>
  <c r="N38" i="3"/>
  <c r="O38" i="3" s="1"/>
  <c r="N14" i="3"/>
  <c r="O14" i="3" s="1"/>
  <c r="N18" i="3"/>
  <c r="O18" i="3" s="1"/>
  <c r="N22" i="3"/>
  <c r="O22" i="3" s="1"/>
  <c r="N26" i="3"/>
  <c r="O26" i="3" s="1"/>
  <c r="N67" i="3"/>
  <c r="O67" i="3" s="1"/>
  <c r="N71" i="3"/>
  <c r="O71" i="3" s="1"/>
  <c r="N75" i="3"/>
  <c r="O75" i="3" s="1"/>
  <c r="N15" i="3"/>
  <c r="O15" i="3" s="1"/>
  <c r="N19" i="3"/>
  <c r="O19" i="3" s="1"/>
  <c r="N23" i="3"/>
  <c r="O23" i="3" s="1"/>
  <c r="N30" i="3"/>
  <c r="O30" i="3" s="1"/>
  <c r="N76" i="3"/>
  <c r="O76" i="3" s="1"/>
  <c r="N11" i="3"/>
  <c r="N10" i="3"/>
  <c r="O10" i="3" s="1"/>
  <c r="O11" i="3"/>
</calcChain>
</file>

<file path=xl/sharedStrings.xml><?xml version="1.0" encoding="utf-8"?>
<sst xmlns="http://schemas.openxmlformats.org/spreadsheetml/2006/main" count="628" uniqueCount="380">
  <si>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</si>
  <si>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</si>
  <si>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</si>
  <si>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</si>
  <si>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</si>
  <si>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</si>
  <si>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</si>
  <si>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</si>
  <si>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</si>
  <si>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</si>
  <si>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</si>
  <si>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</si>
  <si>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</si>
  <si>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</si>
  <si>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</si>
  <si>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</si>
  <si>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</si>
  <si>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</si>
  <si>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</si>
  <si>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</si>
  <si>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D1600454</t>
  </si>
  <si>
    <t>3</t>
  </si>
  <si>
    <t>HeaterDriver.PrjPcb</t>
  </si>
  <si>
    <t>4</t>
  </si>
  <si>
    <t>L.Sánchez</t>
  </si>
  <si>
    <t>7/9/2025</t>
  </si>
  <si>
    <t>2:28 PM</t>
  </si>
  <si>
    <t>Quantity</t>
  </si>
  <si>
    <t>Manufacturer 1</t>
  </si>
  <si>
    <t>Panasonic</t>
  </si>
  <si>
    <t>Samsung</t>
  </si>
  <si>
    <t>KEMET</t>
  </si>
  <si>
    <t>Kyocera AVX</t>
  </si>
  <si>
    <t>onsemi</t>
  </si>
  <si>
    <t>Vishay Semiconductors</t>
  </si>
  <si>
    <t>Diodes</t>
  </si>
  <si>
    <t>Rohm</t>
  </si>
  <si>
    <t>Lumex</t>
  </si>
  <si>
    <t>Littelfuse</t>
  </si>
  <si>
    <t>Sullins</t>
  </si>
  <si>
    <t>Amphenol Communications Solutions</t>
  </si>
  <si>
    <t>TE Connectivity</t>
  </si>
  <si>
    <t>Molex</t>
  </si>
  <si>
    <t>Keystone Electronics</t>
  </si>
  <si>
    <t>VCC CHML</t>
  </si>
  <si>
    <t>3M</t>
  </si>
  <si>
    <t>Amphenol</t>
  </si>
  <si>
    <t>Assmann</t>
  </si>
  <si>
    <t>Schurter</t>
  </si>
  <si>
    <t>Stackpole Electronics</t>
  </si>
  <si>
    <t>Yageo</t>
  </si>
  <si>
    <t>Omron</t>
  </si>
  <si>
    <t>Vishay Dale</t>
  </si>
  <si>
    <t>Bourns</t>
  </si>
  <si>
    <t>Analog Devices / Linear Technology</t>
  </si>
  <si>
    <t>Analog Devices</t>
  </si>
  <si>
    <t>TI National Semiconductor</t>
  </si>
  <si>
    <t>Manufacturer Part Number 1</t>
  </si>
  <si>
    <t>ECH-U1H332GX5</t>
  </si>
  <si>
    <t>CL31B105KBHNNNE</t>
  </si>
  <si>
    <t>ECQ-E2395JB</t>
  </si>
  <si>
    <t>R82EC1680DQ50J</t>
  </si>
  <si>
    <t>ECQ-E1106JF</t>
  </si>
  <si>
    <t>TCJD106M050R0120E</t>
  </si>
  <si>
    <t>BAS70-04LT1G</t>
  </si>
  <si>
    <t>SE20AFJ-M3/6A</t>
  </si>
  <si>
    <t>S1BB-13-F</t>
  </si>
  <si>
    <t>RBR1MM60ATFTR</t>
  </si>
  <si>
    <t>SSF-LXH240GGD</t>
  </si>
  <si>
    <t>0154001.DR</t>
  </si>
  <si>
    <t>PRPC003SAAN-RC</t>
  </si>
  <si>
    <t>6E17C009PAJ121</t>
  </si>
  <si>
    <t>206429-1</t>
  </si>
  <si>
    <t>5747844-4</t>
  </si>
  <si>
    <t>26-61-5030</t>
  </si>
  <si>
    <t>08-56-0105</t>
  </si>
  <si>
    <t>1-5227161-7</t>
  </si>
  <si>
    <t>26-61-5040</t>
  </si>
  <si>
    <t>3-641210-2</t>
  </si>
  <si>
    <t>770849-2</t>
  </si>
  <si>
    <t>09-50-8041</t>
  </si>
  <si>
    <t>66098-9</t>
  </si>
  <si>
    <t>206430-1</t>
  </si>
  <si>
    <t>206153-1</t>
  </si>
  <si>
    <t>5100H5</t>
  </si>
  <si>
    <t>3341-1S</t>
  </si>
  <si>
    <t>3003W3PXX99A10X</t>
  </si>
  <si>
    <t>66100-9</t>
  </si>
  <si>
    <t>2-520183-2</t>
  </si>
  <si>
    <t>SPC02SYAN</t>
  </si>
  <si>
    <t>V8508F</t>
  </si>
  <si>
    <t>1-206062-4</t>
  </si>
  <si>
    <t>206060-1</t>
  </si>
  <si>
    <t>ERA-8AEB3011V</t>
  </si>
  <si>
    <t>ERA-8AEB104V</t>
  </si>
  <si>
    <t>ERA-8AEB2261V</t>
  </si>
  <si>
    <t>ERA-8AEB102V</t>
  </si>
  <si>
    <t>HCJ1206ZT0R00</t>
  </si>
  <si>
    <t>SQP500JB-1K3</t>
  </si>
  <si>
    <t>G6K-2F DC12</t>
  </si>
  <si>
    <t>ERA-8AEB392V</t>
  </si>
  <si>
    <t>ERA-8AEB3922V</t>
  </si>
  <si>
    <t>RNCP1206FTD10K0</t>
  </si>
  <si>
    <t>TNPW12064K99BEEA</t>
  </si>
  <si>
    <t>ERA-8AEB2611V</t>
  </si>
  <si>
    <t>PWR263S-35-1R00F</t>
  </si>
  <si>
    <t>ERA-8AEB2322V</t>
  </si>
  <si>
    <t>ERA-8AEB1581V</t>
  </si>
  <si>
    <t>ERA-8AEB2490V</t>
  </si>
  <si>
    <t>ERA-8AEB2741V</t>
  </si>
  <si>
    <t>ERA-8AEB1331V</t>
  </si>
  <si>
    <t>ERA-8AEB121V</t>
  </si>
  <si>
    <t>LT1125CSW#PBF</t>
  </si>
  <si>
    <t>MMBT2222ALT1G</t>
  </si>
  <si>
    <t>OP27GSZ-REEL7</t>
  </si>
  <si>
    <t>AD8672ARZ-REEL7</t>
  </si>
  <si>
    <t>AD620BRZ-R7</t>
  </si>
  <si>
    <t>LM317T/NOPB</t>
  </si>
  <si>
    <t>LM337T/NOPB</t>
  </si>
  <si>
    <t>Supplier 1</t>
  </si>
  <si>
    <t>Digikey</t>
  </si>
  <si>
    <t>Mouser</t>
  </si>
  <si>
    <t>DigiKey</t>
  </si>
  <si>
    <t>Supplier Part Number 1</t>
  </si>
  <si>
    <t>PCF1302CT-ND</t>
  </si>
  <si>
    <t>1276-1068-1-ND</t>
  </si>
  <si>
    <t>667-ECQ-E2395JB</t>
  </si>
  <si>
    <t>399-19323-1-ND</t>
  </si>
  <si>
    <t>P14629-ND</t>
  </si>
  <si>
    <t>478-13267-1-ND</t>
  </si>
  <si>
    <t>BAS70-04LT1GOSCT-ND</t>
  </si>
  <si>
    <t>SE20AFJ-M3/6AGICT-ND</t>
  </si>
  <si>
    <t>S1BB-FDICT-ND</t>
  </si>
  <si>
    <t>RBR1MM60ATFCT-ND</t>
  </si>
  <si>
    <t>67-1321-ND</t>
  </si>
  <si>
    <t>F1222CT-ND</t>
  </si>
  <si>
    <t>S1011EC-03-ND</t>
  </si>
  <si>
    <t>664-6E17C009PAJ121-ND</t>
  </si>
  <si>
    <t>A1357-ND</t>
  </si>
  <si>
    <t>A32117-ND</t>
  </si>
  <si>
    <t>WM5236-ND</t>
  </si>
  <si>
    <t>WM2112-ND</t>
  </si>
  <si>
    <t>23-0008560105CT-ND</t>
  </si>
  <si>
    <t>A144890-ND</t>
  </si>
  <si>
    <t>WM5237-ND</t>
  </si>
  <si>
    <t>A31688-ND</t>
  </si>
  <si>
    <t>A24111-ND</t>
  </si>
  <si>
    <t>WM2124-ND</t>
  </si>
  <si>
    <t>A1340CT-ND</t>
  </si>
  <si>
    <t>A1360-ND</t>
  </si>
  <si>
    <t>A1351-ND</t>
  </si>
  <si>
    <t>36-9904-ND</t>
  </si>
  <si>
    <t>36-9602-ND</t>
  </si>
  <si>
    <t>L10005-ND</t>
  </si>
  <si>
    <t>MDVS44-ND</t>
  </si>
  <si>
    <t>626-1102-ND</t>
  </si>
  <si>
    <t>A16080CT-ND</t>
  </si>
  <si>
    <t>A27817CT-ND</t>
  </si>
  <si>
    <t>S9001-ND</t>
  </si>
  <si>
    <t>AE10852-ND</t>
  </si>
  <si>
    <t>A32515-ND</t>
  </si>
  <si>
    <t>A1300-ND</t>
  </si>
  <si>
    <t>486-2384-ND</t>
  </si>
  <si>
    <t>P3.01KBCCT-ND</t>
  </si>
  <si>
    <t>P100KBCCT-ND</t>
  </si>
  <si>
    <t>P2.26KBCCT-ND</t>
  </si>
  <si>
    <t>P1.0KBCCT-ND</t>
  </si>
  <si>
    <t>HCJ1206ZT0R00CT-ND</t>
  </si>
  <si>
    <t>1.3KW-5-ND</t>
  </si>
  <si>
    <t>Z113-ND</t>
  </si>
  <si>
    <t>P3.9KBCCT-ND</t>
  </si>
  <si>
    <t>P39.2KBCCT-ND</t>
  </si>
  <si>
    <t>RNCP1206FTD10K0CT-ND</t>
  </si>
  <si>
    <t>TNP4.99KACCT-ND</t>
  </si>
  <si>
    <t>P2.61KBCCT-ND</t>
  </si>
  <si>
    <t>PWR263S-35-1R00F-ND</t>
  </si>
  <si>
    <t>P23.2KBCCT-ND</t>
  </si>
  <si>
    <t>P1.58KBCDKR-ND</t>
  </si>
  <si>
    <t>P249BCCT-ND</t>
  </si>
  <si>
    <t>P2.74KBCCT-ND</t>
  </si>
  <si>
    <t>P1.33KBCCT-ND</t>
  </si>
  <si>
    <t>P120BCCT-ND</t>
  </si>
  <si>
    <t>36-5016CT-ND</t>
  </si>
  <si>
    <t>505-LT1125CSW#PBF-ND</t>
  </si>
  <si>
    <t>MMBT2222ALT1GOSCT-ND</t>
  </si>
  <si>
    <t>OP27GSZ-REEL7CT-ND</t>
  </si>
  <si>
    <t>505-AD8672ARZ-REEL7CT-ND</t>
  </si>
  <si>
    <t>AD620BRZ-R7CT-ND</t>
  </si>
  <si>
    <t>LM317TNS/NOPB-ND</t>
  </si>
  <si>
    <t>LM337TNS/NOPB-ND</t>
  </si>
  <si>
    <t>Name</t>
  </si>
  <si>
    <t>3.3nF</t>
  </si>
  <si>
    <t>1uF</t>
  </si>
  <si>
    <t>Cap Film 3.9uF 250v 10%</t>
  </si>
  <si>
    <t>Cap Film 6.8nF 100V 5% Polyester 0.197inch</t>
  </si>
  <si>
    <t>Cap Film 10uF 100v 0.886inch</t>
  </si>
  <si>
    <t>SMD Cap Tantalum Poly 10uF 50v 2917</t>
  </si>
  <si>
    <t>DualDiode</t>
  </si>
  <si>
    <t>Diode General</t>
  </si>
  <si>
    <t>Diode Standard 100V 1A Surface Mount SMB</t>
  </si>
  <si>
    <t>Diode Schottky 60v 1A SMT PMDU SOD-123F</t>
  </si>
  <si>
    <t>Stacked LED</t>
  </si>
  <si>
    <t>FUSE BRD MNT 1A 125VAC/VDC 2SMD</t>
  </si>
  <si>
    <t>Header 3P Gold Unshrouded 0.100inch</t>
  </si>
  <si>
    <t>DB9 Male</t>
  </si>
  <si>
    <t>Housing CNC 4P</t>
  </si>
  <si>
    <t>DB9 Female</t>
  </si>
  <si>
    <t>Header 3H</t>
  </si>
  <si>
    <t>3 Position Receptacle  0.156" (3.96mm)</t>
  </si>
  <si>
    <t>Contact Crimp Non-Gendered 18-24 AWG Gold</t>
  </si>
  <si>
    <t>BNC</t>
  </si>
  <si>
    <t>Header 4H</t>
  </si>
  <si>
    <t>Header 2P 0.156inch Vertical</t>
  </si>
  <si>
    <t>2 Position Receptacle  0.156" (3.96mm)</t>
  </si>
  <si>
    <t>4 Position  Receptacle Natural 0.156" (3.96mm)</t>
  </si>
  <si>
    <t>Pin Contact Gold 16-18 AWG CPC Connector</t>
  </si>
  <si>
    <t>4 Position Circular Connector Receptacle for Female Contacts Panel Mount, Flange</t>
  </si>
  <si>
    <t>4 Position Circular Connector Receptacle for Male Contacts Free Hanging (In-Line)</t>
  </si>
  <si>
    <t>MACHINE SCREW PAN PHILLIPS 6-32</t>
  </si>
  <si>
    <t>HEX NUT 5/16" STEEL 6-32</t>
  </si>
  <si>
    <t>LED GREEN 1/4" HOLE PANEL MOUNT</t>
  </si>
  <si>
    <t>JACK SOCKET KIT, .31" LENGTH</t>
  </si>
  <si>
    <t>D-Sub 3pin POWER Connector</t>
  </si>
  <si>
    <t>Socket Contact Gold Crimp 16-18 AWG Stamped</t>
  </si>
  <si>
    <t>Quick Connect Female 18-22AWG Fully Insulated 0.250inch</t>
  </si>
  <si>
    <t>2 Position Shunt Connector  0.100" (2.54mm) Gold</t>
  </si>
  <si>
    <t>Heat Sink TO-220 Aluminum Board Level</t>
  </si>
  <si>
    <t>Black Connector Backshell, Cable Clamp 5/8-24 UNEF 11</t>
  </si>
  <si>
    <t>4 Position Circular Connector Plug for Female Contacts Free Hanging (In-Line)</t>
  </si>
  <si>
    <t>CIR BRKR THRM 5A 240VAC 60VDC</t>
  </si>
  <si>
    <t>3.01K</t>
  </si>
  <si>
    <t>100K OHM</t>
  </si>
  <si>
    <t>RES SMD 2.26K OHM 0.1% 1/4W 1206</t>
  </si>
  <si>
    <t>1k</t>
  </si>
  <si>
    <t>0 Ohm</t>
  </si>
  <si>
    <t>Res 1.3Kohm, 5W,5% Axial</t>
  </si>
  <si>
    <t>Relay DPDT SMD 12v DC</t>
  </si>
  <si>
    <t>SMD Res 3.9K 0.1% 0.25W 1206</t>
  </si>
  <si>
    <t>39.2K</t>
  </si>
  <si>
    <t>10K Resistor 1206 0.25W 0.1%</t>
  </si>
  <si>
    <t>4.99K</t>
  </si>
  <si>
    <t>RES SMD 2.61K OHM 0.1% 1/4W 1206</t>
  </si>
  <si>
    <t>SMD Res 1206 100K 0.25W</t>
  </si>
  <si>
    <t>RES SMD 0.1 OHM 1% 25W D2PAK</t>
  </si>
  <si>
    <t>SMD Res 1206 23.2K 0.1% 0.25W</t>
  </si>
  <si>
    <t>SMD Res 1.58K 0.1% 0.25W 1206</t>
  </si>
  <si>
    <t>SMD Res 249Ohm 0.1% 0.25W 1206</t>
  </si>
  <si>
    <t>SMD Res 2.74K 0.1%  0.25W 1206</t>
  </si>
  <si>
    <t>SMD Res 1.33K 0.1% 0.25W 1206</t>
  </si>
  <si>
    <t>SMD Res 120ohm 0.1% 0.25W  1206</t>
  </si>
  <si>
    <t>TESTPT</t>
  </si>
  <si>
    <t>LT1125CS</t>
  </si>
  <si>
    <t>Transistor Switch NPN General Purpose 40v 1Amp</t>
  </si>
  <si>
    <t>OP27GSZ</t>
  </si>
  <si>
    <t>AD8672</t>
  </si>
  <si>
    <t>AD620BRZ</t>
  </si>
  <si>
    <t>Linear Voltage Reg + 1.25v to 37v 1.5A TO-220-3</t>
  </si>
  <si>
    <t>Linear Voltage Reg -1.2v to -37v  1.5A TO-220-3</t>
  </si>
  <si>
    <t>Description</t>
  </si>
  <si>
    <t>CAP 3.3nF 50V PPS 1206</t>
  </si>
  <si>
    <t>CAP 1.0UF 50V CERAMIC F 1206</t>
  </si>
  <si>
    <t>Cap Film 10uF 100v +-5% 0.886inch</t>
  </si>
  <si>
    <t>DUAL SERIES DIODE.</t>
  </si>
  <si>
    <t>Dual Green LED</t>
  </si>
  <si>
    <t>Plug Assembly, 9 Position, Right Angle, .318 Series</t>
  </si>
  <si>
    <t>Receptacle Assembly, 9 Position, Right Angle</t>
  </si>
  <si>
    <t>Header, 3-Pin, Right Angle</t>
  </si>
  <si>
    <t>BNC Straight Away Connector</t>
  </si>
  <si>
    <t>Header, 4-Pin, Right Angle</t>
  </si>
  <si>
    <t>2 Position Rectangular Housing Connector Receptacle Natural 0.156" (3.96mm)</t>
  </si>
  <si>
    <t>2 (1 x 2) Position Shunt Connector Black Closed Top 0.100" (2.54mm) Gold</t>
  </si>
  <si>
    <t>Resistor</t>
  </si>
  <si>
    <t>39.2K Film Resistor</t>
  </si>
  <si>
    <t>SMD 1206 Resistor 10K 0.25W 0.1%</t>
  </si>
  <si>
    <t>PCB Testpoint</t>
  </si>
  <si>
    <t>Quad Low Noise, High-Speed Precision Operational Amplifier</t>
  </si>
  <si>
    <t>Ultra-Low Noise, Precision Operational Amplifier</t>
  </si>
  <si>
    <t>High-Speed, Low-Power Dual Operational Amplifier</t>
  </si>
  <si>
    <t>Low power instrumentation amplifier</t>
  </si>
  <si>
    <t>Designator</t>
  </si>
  <si>
    <t>C1_DR1, C1_DR2, C1_DR3</t>
  </si>
  <si>
    <t>C2_DR1, C2_DR2, C2_DR3, C3_DR1, C3_DR2, C3_DR3, C6, C7, C10, C11, C12, C13, C14_DifferentialDriver, C14_HDNR_I_DifferentialDriver, C14_HDNR_V_DifferentialDriver, C14_HDPR_I_DifferentialDriver, C14_HDPR_V_DifferentialDriver, C15_DifferentialDriver, C15_HDNR_I_DifferentialDriver, C15_HDNR_V_DifferentialDriver, C15_HDPR_I_DifferentialDriver, C15_HDPR_V_DifferentialDriver, C16_HDNRail, C16_HDPRail, C17_HDNRail, C17_HDPRail, C20_HDNRail, C20_HDPRail, C21_HDNRail, C21_HDPRail, C24_HDNRail, C24_HDPRail, C25_HDNRail, C25_HDPRail, C26_HDNRail, C26_HDPRail, C27_HDNRail, C27_HDPRail, C29, C33</t>
  </si>
  <si>
    <t>C4, C5, C8, C9</t>
  </si>
  <si>
    <t>C18_HDNRail, C18_HDPRail, C19_HDNRail, C19_HDPRail</t>
  </si>
  <si>
    <t>C22_HDNRail, C22_HDPRail, C23_HDNRail, C23_HDPRail</t>
  </si>
  <si>
    <t>C28, C30, C31, C32</t>
  </si>
  <si>
    <t>D1_DR1, D1_DR2, D1_DR3, D2_DR1, D2_DR2, D2_DR3, D3_DR1, D3_DR2, D3_DR3, D4_DR1, D4_DR2, D4_DR3</t>
  </si>
  <si>
    <t>D5, D6</t>
  </si>
  <si>
    <t>D7, D8, D10, D12</t>
  </si>
  <si>
    <t>D9, D11</t>
  </si>
  <si>
    <t>D13</t>
  </si>
  <si>
    <t>F1_HDNRail, F1_HDPRail, F2_HDNRail, F2_HDPRail, F3_HDNRail, F3_HDPRail</t>
  </si>
  <si>
    <t>H1</t>
  </si>
  <si>
    <t>J1</t>
  </si>
  <si>
    <t>J3</t>
  </si>
  <si>
    <t>J4</t>
  </si>
  <si>
    <t>P1, P6, P11</t>
  </si>
  <si>
    <t>P2, P4, P10</t>
  </si>
  <si>
    <t>P3, P5, P9, P18, P22, P24, P25, P26, P27, P28, P32, P33, P34, P35, P36, P37, P38</t>
  </si>
  <si>
    <t>P7, P12</t>
  </si>
  <si>
    <t>P8</t>
  </si>
  <si>
    <t>P13, P14</t>
  </si>
  <si>
    <t>P15, P16</t>
  </si>
  <si>
    <t>P17</t>
  </si>
  <si>
    <t>P19, P21, P29, P30, P31</t>
  </si>
  <si>
    <t>P20</t>
  </si>
  <si>
    <t>P23</t>
  </si>
  <si>
    <t>P39, P40, P41, P42</t>
  </si>
  <si>
    <t>P43, P44, P45, P46</t>
  </si>
  <si>
    <t>P_LED12, P_LED13</t>
  </si>
  <si>
    <t>Part1</t>
  </si>
  <si>
    <t>Part2</t>
  </si>
  <si>
    <t>Part3, Part12, Part15, Part16, Part17</t>
  </si>
  <si>
    <t>Part4, Part5, Part6, Part14</t>
  </si>
  <si>
    <t>Part7</t>
  </si>
  <si>
    <t>Part8, Part9</t>
  </si>
  <si>
    <t>Part10</t>
  </si>
  <si>
    <t>Part11</t>
  </si>
  <si>
    <t>Part13</t>
  </si>
  <si>
    <t>R1_DR1, R1_DR2, R1_DR3, R11_DR1, R11_DR2, R11_DR3</t>
  </si>
  <si>
    <t>R2_DR1, R2_DR2, R2_DR3, R10_DR1, R10_DR2, R10_DR3</t>
  </si>
  <si>
    <t>R3_DR1, R3_DR2, R3_DR3, R9_DR1, R9_DR2, R9_DR3</t>
  </si>
  <si>
    <t>R4_DR1, R4_DR2, R4_DR3, R7_DR1, R7_DR2, R7_DR3</t>
  </si>
  <si>
    <t>R5_DR1, R5_DR2, R5_DR3, R8_DR1, R8_DR2, R8_DR3, R14, R15, R16, R28_DifferentialDriver, R28_HDNR_I_DifferentialDriver, R28_HDNR_V_DifferentialDriver, R28_HDPR_I_DifferentialDriver, R28_HDPR_V_DifferentialDriver, R31_DifferentialDriver, R31_HDNR_I_DifferentialDriver, R31_HDNR_V_DifferentialDriver, R31_HDPR_I_DifferentialDriver, R31_HDPR_V_DifferentialDriver, R44_HDNRail, R44_HDPRail, R45_HDNRail, R45_HDPRail, R46_HDNRail, R46_HDPRail</t>
  </si>
  <si>
    <t>R12</t>
  </si>
  <si>
    <t>R13</t>
  </si>
  <si>
    <t>R17, R18</t>
  </si>
  <si>
    <t>R19, R20, R21, R22</t>
  </si>
  <si>
    <t>R23, R24, R25, R42_HDNRail, R42_HDPRail, R51, R52, R53, R54</t>
  </si>
  <si>
    <t>R26_DifferentialDriver, R26_HDNR_I_DifferentialDriver, R26_HDNR_V_DifferentialDriver, R26_HDPR_I_DifferentialDriver, R26_HDPR_V_DifferentialDriver, R27_DifferentialDriver, R27_HDNR_I_DifferentialDriver, R27_HDNR_V_DifferentialDriver, R27_HDPR_I_DifferentialDriver, R27_HDPR_V_DifferentialDriver, R29_DifferentialDriver, R29_HDNR_I_DifferentialDriver, R29_HDNR_V_DifferentialDriver, R29_HDPR_I_DifferentialDriver, R29_HDPR_V_DifferentialDriver, R30_DifferentialDriver, R30_HDNR_I_DifferentialDriver, R30_HDNR_V_DifferentialDriver, R30_HDPR_I_DifferentialDriver, R30_HDPR_V_DifferentialDriver, R43_HDNRail, R43_HDPRail</t>
  </si>
  <si>
    <t>R32_HDNRail, R32_HDPRail</t>
  </si>
  <si>
    <t>R33_HDNRail, R33_HDPRail, R34_HDNRail, R34_HDPRail, R36_HDNRail, R36_HDPRail, R37_HDNRail, R37_HDPRail</t>
  </si>
  <si>
    <t>R35_HDNRail, R35_HDPRail</t>
  </si>
  <si>
    <t>R38_HDNRail, R38_HDPRail, R39_HDNRail, R39_HDPRail</t>
  </si>
  <si>
    <t>R40_HDNRail, R40_HDPRail, R41_HDNRail, R41_HDPRail</t>
  </si>
  <si>
    <t>R47</t>
  </si>
  <si>
    <t>R48</t>
  </si>
  <si>
    <t>R49</t>
  </si>
  <si>
    <t>R50</t>
  </si>
  <si>
    <t>TP1_DR1, TP1_DR2, TP1_DR3, TP2, TP3, TP4, TP5, TP6, TP7, TP8_DifferentialDriver, TP8_HDNR_I_DifferentialDriver, TP8_HDNR_V_DifferentialDriver, TP8_HDPR_I_DifferentialDriver, TP8_HDPR_V_DifferentialDriver, TP9_DifferentialDriver, TP9_HDNR_I_DifferentialDriver, TP9_HDNR_V_DifferentialDriver, TP9_HDPR_I_DifferentialDriver, TP9_HDPR_V_DifferentialDriver, TP10_HDNRail, TP10_HDPRail, TP11_HDNRail, TP11_HDPRail, TP12_HDNRail, TP12_HDPRail, TP13_HDNRail, TP13_HDPRail, TP14_HDNRail, TP14_HDPRail, TP15, TP16, TP17, TP18, TP19, TP20_HDNRail, TP20_HDPRail, TP21, TP22, TP23, TP24</t>
  </si>
  <si>
    <t>U1_DR1, U1_DR2, U1_DR3</t>
  </si>
  <si>
    <t>U2</t>
  </si>
  <si>
    <t>U3, U4, U5, U8_HDNRail, U8_HDPRail, U9_HDNRail, U9_HDPRail, U10_HDNRail, U10_HDPRail</t>
  </si>
  <si>
    <t>U6_DifferentialDriver, U6_HDNR_I_DifferentialDriver, U6_HDNR_V_DifferentialDriver, U6_HDPR_I_DifferentialDriver, U6_HDPR_V_DifferentialDriver</t>
  </si>
  <si>
    <t>U7_HDNRail, U7_HDPRail</t>
  </si>
  <si>
    <t>U11</t>
  </si>
  <si>
    <t>U12</t>
  </si>
  <si>
    <t>Footprint</t>
  </si>
  <si>
    <t>CC3216-1206</t>
  </si>
  <si>
    <t>CAP_FILM_0.689inch</t>
  </si>
  <si>
    <t>CAP_FILM_POLY_0.197inch</t>
  </si>
  <si>
    <t>CAP_FILM_0.886inch</t>
  </si>
  <si>
    <t>2916</t>
  </si>
  <si>
    <t>SOT-23A</t>
  </si>
  <si>
    <t>DIODE_SE20AFJ-M3/6A</t>
  </si>
  <si>
    <t>DIODE_SMB</t>
  </si>
  <si>
    <t>SOD-123F</t>
  </si>
  <si>
    <t>my LUMEX Dual LED</t>
  </si>
  <si>
    <t>SMD FUSE</t>
  </si>
  <si>
    <t>Jumper 3P</t>
  </si>
  <si>
    <t>DB9M-RA</t>
  </si>
  <si>
    <t/>
  </si>
  <si>
    <t>DB9F-RA</t>
  </si>
  <si>
    <t>Molex_156_RA_3</t>
  </si>
  <si>
    <t>BNC4</t>
  </si>
  <si>
    <t>Molex_156_RA_4</t>
  </si>
  <si>
    <t>MOLEX_156_2</t>
  </si>
  <si>
    <t>CR3216-1206</t>
  </si>
  <si>
    <t>Axial_Res_925</t>
  </si>
  <si>
    <t>RELAY_G6K-2F-TR-DC5</t>
  </si>
  <si>
    <t>D2PAK_RES</t>
  </si>
  <si>
    <t>TP3heater</t>
  </si>
  <si>
    <t>SOIC127P1030-16N</t>
  </si>
  <si>
    <t>SOT-23-3</t>
  </si>
  <si>
    <t>SO8_N</t>
  </si>
  <si>
    <t>SOIC_8P_</t>
  </si>
  <si>
    <t>MY_TO220_HeatSink</t>
  </si>
  <si>
    <t>Assembly Type</t>
  </si>
  <si>
    <t>TH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</si>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</sst>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4" fillId="2" borderId="0" xfId="0" applyFont="1" applyFill="1" applyAlignment="1">
      <alignment horizontal="left"/>
    </xf>
    <xf numFmtId="0" fontId="10" fillId="2" borderId="5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/>
    </xf>
    <xf numFmtId="0" fontId="3" fillId="6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/>
    </xf>
    <xf numFmtId="1" fontId="15" fillId="3" borderId="2" xfId="0" applyNumberFormat="1" applyFont="1" applyFill="1" applyBorder="1" applyAlignment="1">
      <alignment horizontal="left" vertical="top"/>
    </xf>
  </cellXfs>
  <cellStyles count="1">
    <cellStyle name="Normal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alignment horizontal="left" textRotation="0" indent="0" justifyLastLine="0" shrinkToFit="0" readingOrder="0"/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77" totalsRowShown="0" headerRowDxfId="19" dataDxfId="17" headerRowBorderDxfId="18" tableBorderDxfId="16">
  <autoFilter ref="B9:O77" xr:uid="{00000000-0009-0000-0100-000002000000}"/>
  <tableColumns count="14">
    <tableColumn id="1" xr3:uid="{00000000-0010-0000-0000-000001000000}" name="Quantity" dataDxfId="15"/>
    <tableColumn id="13" xr3:uid="{E63D2325-985C-42DA-B8D6-1DEE83CC2C12}" name="Manufacturer 1" dataDxfId="2"/>
    <tableColumn id="14" xr3:uid="{99B152BA-3BCD-4256-B3DD-EB9E28C53A85}" name="Manufacturer Part Number 1" dataDxfId="0"/>
    <tableColumn id="2" xr3:uid="{00000000-0010-0000-0000-000002000000}" name="Supplier 1" dataDxfId="1"/>
    <tableColumn id="3" xr3:uid="{00000000-0010-0000-0000-000003000000}" name="Supplier Part Number 1" dataDxfId="14"/>
    <tableColumn id="4" xr3:uid="{00000000-0010-0000-0000-000004000000}" name="Name" dataDxfId="13"/>
    <tableColumn id="5" xr3:uid="{00000000-0010-0000-0000-000005000000}" name="Description" dataDxfId="12"/>
    <tableColumn id="6" xr3:uid="{00000000-0010-0000-0000-000006000000}" name="Designator" dataDxfId="11"/>
    <tableColumn id="7" xr3:uid="{00000000-0010-0000-0000-000007000000}" name="Footprint" dataDxfId="10"/>
    <tableColumn id="8" xr3:uid="{00000000-0010-0000-0000-000008000000}" name="Assembly Type" dataDxfId="9"/>
    <tableColumn id="9" xr3:uid="{00000000-0010-0000-0000-000009000000}" name="Extra" dataDxfId="8"/>
    <tableColumn id="10" xr3:uid="{00000000-0010-0000-0000-00000A000000}" name="Excess" dataDxfId="7"/>
    <tableColumn id="11" xr3:uid="{00000000-0010-0000-0000-00000B000000}" name="Add" dataDxfId="6"/>
    <tableColumn id="12" xr3:uid="{00000000-0010-0000-0000-00000C000000}" name="Quantity to Order" data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87"/>
  <sheetViews>
    <sheetView showGridLines="0" tabSelected="1" topLeftCell="A4" zoomScaleNormal="100" workbookViewId="0">
      <selection activeCell="E11" sqref="E11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1.54296875" style="3" customWidth="1"/>
    <col min="6" max="6" width="24.81640625" style="1" customWidth="1"/>
    <col min="7" max="7" width="27" style="1" customWidth="1"/>
    <col min="8" max="8" width="30.7265625" style="1" customWidth="1"/>
    <col min="9" max="9" width="62.179687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6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65"/>
      <c r="E2" s="26"/>
      <c r="F2" s="18"/>
      <c r="G2" s="22" t="s">
        <v>13</v>
      </c>
      <c r="H2" s="18"/>
      <c r="I2" s="51" t="s">
        <v>20</v>
      </c>
      <c r="J2" s="22" t="s">
        <v>12</v>
      </c>
      <c r="K2" s="52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7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7"/>
      <c r="E4" s="5"/>
      <c r="F4" s="53" t="s">
        <v>22</v>
      </c>
      <c r="G4" s="8"/>
      <c r="H4" s="6"/>
      <c r="I4" s="57" t="s">
        <v>15</v>
      </c>
      <c r="J4" s="58"/>
      <c r="K4" s="54" t="s">
        <v>23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7"/>
      <c r="E5" s="5"/>
      <c r="F5" s="55" t="s">
        <v>24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7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66"/>
      <c r="F7" s="56" t="s">
        <v>25</v>
      </c>
      <c r="G7" s="56" t="s">
        <v>26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5"/>
      <c r="F8" s="32">
        <f ca="1">TODAY()</f>
        <v>45847</v>
      </c>
      <c r="G8" s="59">
        <f ca="1">NOW()</f>
        <v>45847.60469641204</v>
      </c>
      <c r="H8" s="60"/>
      <c r="I8" s="11"/>
      <c r="J8" s="11"/>
      <c r="O8" s="24"/>
    </row>
    <row r="9" spans="1:15" s="2" customFormat="1" ht="24.75" customHeight="1" x14ac:dyDescent="0.25">
      <c r="A9" s="13"/>
      <c r="B9" s="39" t="s">
        <v>27</v>
      </c>
      <c r="C9" s="41" t="s">
        <v>28</v>
      </c>
      <c r="D9" s="67" t="s">
        <v>57</v>
      </c>
      <c r="E9" s="40" t="s">
        <v>119</v>
      </c>
      <c r="F9" s="40" t="s">
        <v>123</v>
      </c>
      <c r="G9" s="40" t="s">
        <v>190</v>
      </c>
      <c r="H9" s="40" t="s">
        <v>258</v>
      </c>
      <c r="I9" s="41" t="s">
        <v>279</v>
      </c>
      <c r="J9" s="40" t="s">
        <v>347</v>
      </c>
      <c r="K9" s="40" t="s">
        <v>377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13" x14ac:dyDescent="0.25">
      <c r="A10" s="13"/>
      <c r="B10" s="46">
        <v>3</v>
      </c>
      <c r="C10" s="46" t="s">
        <v>29</v>
      </c>
      <c r="D10" s="68" t="s">
        <v>58</v>
      </c>
      <c r="E10" s="47" t="s">
        <v>120</v>
      </c>
      <c r="F10" s="47" t="s">
        <v>124</v>
      </c>
      <c r="G10" s="47" t="s">
        <v>191</v>
      </c>
      <c r="H10" s="47" t="s">
        <v>259</v>
      </c>
      <c r="I10" s="47" t="s">
        <v>280</v>
      </c>
      <c r="J10" s="47" t="s">
        <v>348</v>
      </c>
      <c r="K10" s="47" t="s">
        <v>378</v>
      </c>
      <c r="L10" s="49">
        <f>+IF(OR(K10="BGA",K10="FP",K10="TH"),1,IF($K$4*B10&lt;100,5,0))</f>
        <v>1</v>
      </c>
      <c r="M10" s="48">
        <f>+IF(AND(K10="",$K$4*B10&gt;100),0.05,0)</f>
        <v>0</v>
      </c>
      <c r="N10" s="49">
        <f>+ROUNDUP($K$4*B10*M10+L10,0)</f>
        <v>1</v>
      </c>
      <c r="O10" s="42">
        <f>+IF(OR(LEFT(I10&amp;"",1)="C",LEFT(I10&amp;"",1)="R"),ROUNDUP($K$4*B10+N10,-1),$K$4*B10+N10)</f>
        <v>20</v>
      </c>
    </row>
    <row r="11" spans="1:15" s="2" customFormat="1" ht="80.5" x14ac:dyDescent="0.25">
      <c r="A11" s="13"/>
      <c r="B11" s="46">
        <v>40</v>
      </c>
      <c r="C11" s="46" t="s">
        <v>30</v>
      </c>
      <c r="D11" s="68" t="s">
        <v>59</v>
      </c>
      <c r="E11" s="47" t="s">
        <v>120</v>
      </c>
      <c r="F11" s="47" t="s">
        <v>125</v>
      </c>
      <c r="G11" s="47" t="s">
        <v>192</v>
      </c>
      <c r="H11" s="47" t="s">
        <v>260</v>
      </c>
      <c r="I11" s="47" t="s">
        <v>281</v>
      </c>
      <c r="J11" s="47" t="s">
        <v>348</v>
      </c>
      <c r="K11" s="47" t="s">
        <v>361</v>
      </c>
      <c r="L11" s="49">
        <f t="shared" ref="L11" si="0">+IF(OR(K11="BGA",K11="FP",K11="TH"),1,IF($K$4*B11&lt;100,5,0))</f>
        <v>0</v>
      </c>
      <c r="M11" s="48">
        <f t="shared" ref="M11" si="1">+IF(AND(K11="",$K$4*B11&gt;100),0.05,0)</f>
        <v>0.05</v>
      </c>
      <c r="N11" s="49">
        <f t="shared" ref="N11" si="2">+ROUNDUP($K$4*B11*M11+L11,0)</f>
        <v>8</v>
      </c>
      <c r="O11" s="42">
        <f t="shared" ref="O11" si="3">+IF(OR(LEFT(I11&amp;"",1)="C",LEFT(I11&amp;"",1)="R"),ROUNDUP($K$4*B11+N11,-1),$K$4*B11+N11)</f>
        <v>170</v>
      </c>
    </row>
    <row r="12" spans="1:15" s="2" customFormat="1" ht="13" x14ac:dyDescent="0.25">
      <c r="A12" s="13"/>
      <c r="B12" s="46">
        <v>4</v>
      </c>
      <c r="C12" s="46" t="s">
        <v>29</v>
      </c>
      <c r="D12" s="68" t="s">
        <v>60</v>
      </c>
      <c r="E12" s="47" t="s">
        <v>121</v>
      </c>
      <c r="F12" s="47" t="s">
        <v>126</v>
      </c>
      <c r="G12" s="47" t="s">
        <v>193</v>
      </c>
      <c r="H12" s="47" t="s">
        <v>193</v>
      </c>
      <c r="I12" s="47" t="s">
        <v>282</v>
      </c>
      <c r="J12" s="47" t="s">
        <v>349</v>
      </c>
      <c r="K12" s="47" t="s">
        <v>378</v>
      </c>
      <c r="L12" s="49">
        <f>+IF(OR(K12="BGA",K12="FP",K12="TH"),1,IF($K$4*B12&lt;100,5,0))</f>
        <v>1</v>
      </c>
      <c r="M12" s="48">
        <f>+IF(AND(K12="",$K$4*B12&gt;100),0.05,0)</f>
        <v>0</v>
      </c>
      <c r="N12" s="49">
        <f>+ROUNDUP($K$4*B12*M12+L12,0)</f>
        <v>1</v>
      </c>
      <c r="O12" s="42">
        <f>+IF(OR(LEFT(I12&amp;"",1)="C",LEFT(I12&amp;"",1)="R"),ROUNDUP($K$4*B12+N12,-1),$K$4*B12+N12)</f>
        <v>20</v>
      </c>
    </row>
    <row r="13" spans="1:15" s="2" customFormat="1" ht="20.5" x14ac:dyDescent="0.25">
      <c r="A13" s="13"/>
      <c r="B13" s="46">
        <v>4</v>
      </c>
      <c r="C13" s="46" t="s">
        <v>31</v>
      </c>
      <c r="D13" s="68" t="s">
        <v>61</v>
      </c>
      <c r="E13" s="47" t="s">
        <v>120</v>
      </c>
      <c r="F13" s="47" t="s">
        <v>127</v>
      </c>
      <c r="G13" s="47" t="s">
        <v>194</v>
      </c>
      <c r="H13" s="47" t="s">
        <v>194</v>
      </c>
      <c r="I13" s="47" t="s">
        <v>283</v>
      </c>
      <c r="J13" s="47" t="s">
        <v>350</v>
      </c>
      <c r="K13" s="47" t="s">
        <v>361</v>
      </c>
      <c r="L13" s="49">
        <f t="shared" ref="L13" si="4">+IF(OR(K13="BGA",K13="FP",K13="TH"),1,IF($K$4*B13&lt;100,5,0))</f>
        <v>5</v>
      </c>
      <c r="M13" s="48">
        <f t="shared" ref="M13" si="5">+IF(AND(K13="",$K$4*B13&gt;100),0.05,0)</f>
        <v>0</v>
      </c>
      <c r="N13" s="49">
        <f t="shared" ref="N13" si="6">+ROUNDUP($K$4*B13*M13+L13,0)</f>
        <v>5</v>
      </c>
      <c r="O13" s="42">
        <f t="shared" ref="O13" si="7">+IF(OR(LEFT(I13&amp;"",1)="C",LEFT(I13&amp;"",1)="R"),ROUNDUP($K$4*B13+N13,-1),$K$4*B13+N13)</f>
        <v>30</v>
      </c>
    </row>
    <row r="14" spans="1:15" s="2" customFormat="1" ht="13" x14ac:dyDescent="0.25">
      <c r="A14" s="13"/>
      <c r="B14" s="46">
        <v>4</v>
      </c>
      <c r="C14" s="46" t="s">
        <v>29</v>
      </c>
      <c r="D14" s="68" t="s">
        <v>62</v>
      </c>
      <c r="E14" s="47" t="s">
        <v>120</v>
      </c>
      <c r="F14" s="47" t="s">
        <v>128</v>
      </c>
      <c r="G14" s="47" t="s">
        <v>195</v>
      </c>
      <c r="H14" s="47" t="s">
        <v>261</v>
      </c>
      <c r="I14" s="47" t="s">
        <v>284</v>
      </c>
      <c r="J14" s="47" t="s">
        <v>351</v>
      </c>
      <c r="K14" s="47" t="s">
        <v>378</v>
      </c>
      <c r="L14" s="49">
        <f>+IF(OR(K14="BGA",K14="FP",K14="TH"),1,IF($K$4*B14&lt;100,5,0))</f>
        <v>1</v>
      </c>
      <c r="M14" s="48">
        <f>+IF(AND(K14="",$K$4*B14&gt;100),0.05,0)</f>
        <v>0</v>
      </c>
      <c r="N14" s="49">
        <f>+ROUNDUP($K$4*B14*M14+L14,0)</f>
        <v>1</v>
      </c>
      <c r="O14" s="42">
        <f>+IF(OR(LEFT(I14&amp;"",1)="C",LEFT(I14&amp;"",1)="R"),ROUNDUP($K$4*B14+N14,-1),$K$4*B14+N14)</f>
        <v>20</v>
      </c>
    </row>
    <row r="15" spans="1:15" s="2" customFormat="1" ht="13" x14ac:dyDescent="0.25">
      <c r="A15" s="13"/>
      <c r="B15" s="46">
        <v>4</v>
      </c>
      <c r="C15" s="46" t="s">
        <v>32</v>
      </c>
      <c r="D15" s="68" t="s">
        <v>63</v>
      </c>
      <c r="E15" s="47" t="s">
        <v>120</v>
      </c>
      <c r="F15" s="47" t="s">
        <v>129</v>
      </c>
      <c r="G15" s="47" t="s">
        <v>196</v>
      </c>
      <c r="H15" s="47" t="s">
        <v>196</v>
      </c>
      <c r="I15" s="47" t="s">
        <v>285</v>
      </c>
      <c r="J15" s="47" t="s">
        <v>352</v>
      </c>
      <c r="K15" s="47" t="s">
        <v>361</v>
      </c>
      <c r="L15" s="49">
        <f t="shared" ref="L15" si="8">+IF(OR(K15="BGA",K15="FP",K15="TH"),1,IF($K$4*B15&lt;100,5,0))</f>
        <v>5</v>
      </c>
      <c r="M15" s="48">
        <f t="shared" ref="M15" si="9">+IF(AND(K15="",$K$4*B15&gt;100),0.05,0)</f>
        <v>0</v>
      </c>
      <c r="N15" s="49">
        <f t="shared" ref="N15" si="10">+ROUNDUP($K$4*B15*M15+L15,0)</f>
        <v>5</v>
      </c>
      <c r="O15" s="42">
        <f t="shared" ref="O15" si="11">+IF(OR(LEFT(I15&amp;"",1)="C",LEFT(I15&amp;"",1)="R"),ROUNDUP($K$4*B15+N15,-1),$K$4*B15+N15)</f>
        <v>30</v>
      </c>
    </row>
    <row r="16" spans="1:15" s="2" customFormat="1" ht="20.5" x14ac:dyDescent="0.25">
      <c r="A16" s="13"/>
      <c r="B16" s="46">
        <v>12</v>
      </c>
      <c r="C16" s="46" t="s">
        <v>33</v>
      </c>
      <c r="D16" s="68" t="s">
        <v>64</v>
      </c>
      <c r="E16" s="47" t="s">
        <v>120</v>
      </c>
      <c r="F16" s="47" t="s">
        <v>130</v>
      </c>
      <c r="G16" s="47" t="s">
        <v>197</v>
      </c>
      <c r="H16" s="47" t="s">
        <v>262</v>
      </c>
      <c r="I16" s="47" t="s">
        <v>286</v>
      </c>
      <c r="J16" s="47" t="s">
        <v>353</v>
      </c>
      <c r="K16" s="47" t="s">
        <v>361</v>
      </c>
      <c r="L16" s="49">
        <f>+IF(OR(K16="BGA",K16="FP",K16="TH"),1,IF($K$4*B16&lt;100,5,0))</f>
        <v>5</v>
      </c>
      <c r="M16" s="48">
        <f>+IF(AND(K16="",$K$4*B16&gt;100),0.05,0)</f>
        <v>0</v>
      </c>
      <c r="N16" s="49">
        <f>+ROUNDUP($K$4*B16*M16+L16,0)</f>
        <v>5</v>
      </c>
      <c r="O16" s="42">
        <f>+IF(OR(LEFT(I16&amp;"",1)="C",LEFT(I16&amp;"",1)="R"),ROUNDUP($K$4*B16+N16,-1),$K$4*B16+N16)</f>
        <v>53</v>
      </c>
    </row>
    <row r="17" spans="1:15" s="2" customFormat="1" ht="13" x14ac:dyDescent="0.25">
      <c r="A17" s="13"/>
      <c r="B17" s="46">
        <v>2</v>
      </c>
      <c r="C17" s="46" t="s">
        <v>34</v>
      </c>
      <c r="D17" s="68" t="s">
        <v>65</v>
      </c>
      <c r="E17" s="47" t="s">
        <v>120</v>
      </c>
      <c r="F17" s="47" t="s">
        <v>131</v>
      </c>
      <c r="G17" s="47" t="s">
        <v>198</v>
      </c>
      <c r="H17" s="47" t="s">
        <v>198</v>
      </c>
      <c r="I17" s="47" t="s">
        <v>287</v>
      </c>
      <c r="J17" s="47" t="s">
        <v>354</v>
      </c>
      <c r="K17" s="47" t="s">
        <v>361</v>
      </c>
      <c r="L17" s="49">
        <f t="shared" ref="L17" si="12">+IF(OR(K17="BGA",K17="FP",K17="TH"),1,IF($K$4*B17&lt;100,5,0))</f>
        <v>5</v>
      </c>
      <c r="M17" s="48">
        <f t="shared" ref="M17" si="13">+IF(AND(K17="",$K$4*B17&gt;100),0.05,0)</f>
        <v>0</v>
      </c>
      <c r="N17" s="49">
        <f t="shared" ref="N17" si="14">+ROUNDUP($K$4*B17*M17+L17,0)</f>
        <v>5</v>
      </c>
      <c r="O17" s="42">
        <f t="shared" ref="O17" si="15">+IF(OR(LEFT(I17&amp;"",1)="C",LEFT(I17&amp;"",1)="R"),ROUNDUP($K$4*B17+N17,-1),$K$4*B17+N17)</f>
        <v>13</v>
      </c>
    </row>
    <row r="18" spans="1:15" s="2" customFormat="1" ht="20.5" x14ac:dyDescent="0.25">
      <c r="A18" s="13"/>
      <c r="B18" s="46">
        <v>4</v>
      </c>
      <c r="C18" s="46" t="s">
        <v>35</v>
      </c>
      <c r="D18" s="68" t="s">
        <v>66</v>
      </c>
      <c r="E18" s="47" t="s">
        <v>120</v>
      </c>
      <c r="F18" s="47" t="s">
        <v>132</v>
      </c>
      <c r="G18" s="47" t="s">
        <v>199</v>
      </c>
      <c r="H18" s="47" t="s">
        <v>199</v>
      </c>
      <c r="I18" s="47" t="s">
        <v>288</v>
      </c>
      <c r="J18" s="47" t="s">
        <v>355</v>
      </c>
      <c r="K18" s="47" t="s">
        <v>361</v>
      </c>
      <c r="L18" s="49">
        <f>+IF(OR(K18="BGA",K18="FP",K18="TH"),1,IF($K$4*B18&lt;100,5,0))</f>
        <v>5</v>
      </c>
      <c r="M18" s="48">
        <f>+IF(AND(K18="",$K$4*B18&gt;100),0.05,0)</f>
        <v>0</v>
      </c>
      <c r="N18" s="49">
        <f>+ROUNDUP($K$4*B18*M18+L18,0)</f>
        <v>5</v>
      </c>
      <c r="O18" s="42">
        <f>+IF(OR(LEFT(I18&amp;"",1)="C",LEFT(I18&amp;"",1)="R"),ROUNDUP($K$4*B18+N18,-1),$K$4*B18+N18)</f>
        <v>21</v>
      </c>
    </row>
    <row r="19" spans="1:15" s="2" customFormat="1" ht="20.5" x14ac:dyDescent="0.25">
      <c r="A19" s="13"/>
      <c r="B19" s="46">
        <v>2</v>
      </c>
      <c r="C19" s="46" t="s">
        <v>36</v>
      </c>
      <c r="D19" s="68" t="s">
        <v>67</v>
      </c>
      <c r="E19" s="47" t="s">
        <v>120</v>
      </c>
      <c r="F19" s="47" t="s">
        <v>133</v>
      </c>
      <c r="G19" s="47" t="s">
        <v>200</v>
      </c>
      <c r="H19" s="47" t="s">
        <v>200</v>
      </c>
      <c r="I19" s="47" t="s">
        <v>289</v>
      </c>
      <c r="J19" s="47" t="s">
        <v>356</v>
      </c>
      <c r="K19" s="47" t="s">
        <v>361</v>
      </c>
      <c r="L19" s="49">
        <f t="shared" ref="L19" si="16">+IF(OR(K19="BGA",K19="FP",K19="TH"),1,IF($K$4*B19&lt;100,5,0))</f>
        <v>5</v>
      </c>
      <c r="M19" s="48">
        <f t="shared" ref="M19" si="17">+IF(AND(K19="",$K$4*B19&gt;100),0.05,0)</f>
        <v>0</v>
      </c>
      <c r="N19" s="49">
        <f t="shared" ref="N19" si="18">+ROUNDUP($K$4*B19*M19+L19,0)</f>
        <v>5</v>
      </c>
      <c r="O19" s="42">
        <f t="shared" ref="O19" si="19">+IF(OR(LEFT(I19&amp;"",1)="C",LEFT(I19&amp;"",1)="R"),ROUNDUP($K$4*B19+N19,-1),$K$4*B19+N19)</f>
        <v>13</v>
      </c>
    </row>
    <row r="20" spans="1:15" s="2" customFormat="1" ht="13" x14ac:dyDescent="0.25">
      <c r="A20" s="13"/>
      <c r="B20" s="46">
        <v>1</v>
      </c>
      <c r="C20" s="46" t="s">
        <v>37</v>
      </c>
      <c r="D20" s="68" t="s">
        <v>68</v>
      </c>
      <c r="E20" s="47" t="s">
        <v>120</v>
      </c>
      <c r="F20" s="47" t="s">
        <v>134</v>
      </c>
      <c r="G20" s="47" t="s">
        <v>201</v>
      </c>
      <c r="H20" s="47" t="s">
        <v>263</v>
      </c>
      <c r="I20" s="47" t="s">
        <v>290</v>
      </c>
      <c r="J20" s="47" t="s">
        <v>357</v>
      </c>
      <c r="K20" s="47" t="s">
        <v>378</v>
      </c>
      <c r="L20" s="49">
        <f>+IF(OR(K20="BGA",K20="FP",K20="TH"),1,IF($K$4*B20&lt;100,5,0))</f>
        <v>1</v>
      </c>
      <c r="M20" s="48">
        <f>+IF(AND(K20="",$K$4*B20&gt;100),0.05,0)</f>
        <v>0</v>
      </c>
      <c r="N20" s="49">
        <f>+ROUNDUP($K$4*B20*M20+L20,0)</f>
        <v>1</v>
      </c>
      <c r="O20" s="42">
        <f>+IF(OR(LEFT(I20&amp;"",1)="C",LEFT(I20&amp;"",1)="R"),ROUNDUP($K$4*B20+N20,-1),$K$4*B20+N20)</f>
        <v>5</v>
      </c>
    </row>
    <row r="21" spans="1:15" s="2" customFormat="1" ht="20.5" x14ac:dyDescent="0.25">
      <c r="A21" s="13"/>
      <c r="B21" s="46">
        <v>6</v>
      </c>
      <c r="C21" s="46" t="s">
        <v>38</v>
      </c>
      <c r="D21" s="68" t="s">
        <v>69</v>
      </c>
      <c r="E21" s="47" t="s">
        <v>120</v>
      </c>
      <c r="F21" s="47" t="s">
        <v>135</v>
      </c>
      <c r="G21" s="47" t="s">
        <v>202</v>
      </c>
      <c r="H21" s="47" t="s">
        <v>202</v>
      </c>
      <c r="I21" s="47" t="s">
        <v>291</v>
      </c>
      <c r="J21" s="47" t="s">
        <v>358</v>
      </c>
      <c r="K21" s="47" t="s">
        <v>361</v>
      </c>
      <c r="L21" s="49">
        <f t="shared" ref="L21" si="20">+IF(OR(K21="BGA",K21="FP",K21="TH"),1,IF($K$4*B21&lt;100,5,0))</f>
        <v>5</v>
      </c>
      <c r="M21" s="48">
        <f t="shared" ref="M21" si="21">+IF(AND(K21="",$K$4*B21&gt;100),0.05,0)</f>
        <v>0</v>
      </c>
      <c r="N21" s="49">
        <f t="shared" ref="N21" si="22">+ROUNDUP($K$4*B21*M21+L21,0)</f>
        <v>5</v>
      </c>
      <c r="O21" s="42">
        <f t="shared" ref="O21" si="23">+IF(OR(LEFT(I21&amp;"",1)="C",LEFT(I21&amp;"",1)="R"),ROUNDUP($K$4*B21+N21,-1),$K$4*B21+N21)</f>
        <v>29</v>
      </c>
    </row>
    <row r="22" spans="1:15" s="2" customFormat="1" ht="13" x14ac:dyDescent="0.25">
      <c r="A22" s="13"/>
      <c r="B22" s="46">
        <v>1</v>
      </c>
      <c r="C22" s="46" t="s">
        <v>39</v>
      </c>
      <c r="D22" s="68" t="s">
        <v>70</v>
      </c>
      <c r="E22" s="47" t="s">
        <v>120</v>
      </c>
      <c r="F22" s="47" t="s">
        <v>136</v>
      </c>
      <c r="G22" s="47" t="s">
        <v>203</v>
      </c>
      <c r="H22" s="47" t="s">
        <v>203</v>
      </c>
      <c r="I22" s="47" t="s">
        <v>292</v>
      </c>
      <c r="J22" s="47" t="s">
        <v>359</v>
      </c>
      <c r="K22" s="47" t="s">
        <v>378</v>
      </c>
      <c r="L22" s="49">
        <f>+IF(OR(K22="BGA",K22="FP",K22="TH"),1,IF($K$4*B22&lt;100,5,0))</f>
        <v>1</v>
      </c>
      <c r="M22" s="48">
        <f>+IF(AND(K22="",$K$4*B22&gt;100),0.05,0)</f>
        <v>0</v>
      </c>
      <c r="N22" s="49">
        <f>+ROUNDUP($K$4*B22*M22+L22,0)</f>
        <v>1</v>
      </c>
      <c r="O22" s="42">
        <f>+IF(OR(LEFT(I22&amp;"",1)="C",LEFT(I22&amp;"",1)="R"),ROUNDUP($K$4*B22+N22,-1),$K$4*B22+N22)</f>
        <v>5</v>
      </c>
    </row>
    <row r="23" spans="1:15" s="2" customFormat="1" ht="20.5" x14ac:dyDescent="0.25">
      <c r="A23" s="13"/>
      <c r="B23" s="46">
        <v>1</v>
      </c>
      <c r="C23" s="46" t="s">
        <v>40</v>
      </c>
      <c r="D23" s="68" t="s">
        <v>71</v>
      </c>
      <c r="E23" s="47" t="s">
        <v>120</v>
      </c>
      <c r="F23" s="47" t="s">
        <v>137</v>
      </c>
      <c r="G23" s="47" t="s">
        <v>204</v>
      </c>
      <c r="H23" s="47" t="s">
        <v>264</v>
      </c>
      <c r="I23" s="47" t="s">
        <v>293</v>
      </c>
      <c r="J23" s="47" t="s">
        <v>360</v>
      </c>
      <c r="K23" s="47" t="s">
        <v>378</v>
      </c>
      <c r="L23" s="49">
        <f t="shared" ref="L23" si="24">+IF(OR(K23="BGA",K23="FP",K23="TH"),1,IF($K$4*B23&lt;100,5,0))</f>
        <v>1</v>
      </c>
      <c r="M23" s="48">
        <f t="shared" ref="M23" si="25">+IF(AND(K23="",$K$4*B23&gt;100),0.05,0)</f>
        <v>0</v>
      </c>
      <c r="N23" s="49">
        <f t="shared" ref="N23" si="26">+ROUNDUP($K$4*B23*M23+L23,0)</f>
        <v>1</v>
      </c>
      <c r="O23" s="42">
        <f t="shared" ref="O23" si="27">+IF(OR(LEFT(I23&amp;"",1)="C",LEFT(I23&amp;"",1)="R"),ROUNDUP($K$4*B23+N23,-1),$K$4*B23+N23)</f>
        <v>5</v>
      </c>
    </row>
    <row r="24" spans="1:15" s="2" customFormat="1" ht="13" x14ac:dyDescent="0.25">
      <c r="A24" s="13"/>
      <c r="B24" s="46">
        <v>1</v>
      </c>
      <c r="C24" s="46" t="s">
        <v>41</v>
      </c>
      <c r="D24" s="68" t="s">
        <v>72</v>
      </c>
      <c r="E24" s="47" t="s">
        <v>120</v>
      </c>
      <c r="F24" s="47" t="s">
        <v>138</v>
      </c>
      <c r="G24" s="47" t="s">
        <v>205</v>
      </c>
      <c r="H24" s="47" t="s">
        <v>205</v>
      </c>
      <c r="I24" s="47" t="s">
        <v>294</v>
      </c>
      <c r="J24" s="47" t="s">
        <v>361</v>
      </c>
      <c r="K24" s="47" t="s">
        <v>379</v>
      </c>
      <c r="L24" s="49">
        <f>+IF(OR(K24="BGA",K24="FP",K24="TH"),1,IF($K$4*B24&lt;100,5,0))</f>
        <v>5</v>
      </c>
      <c r="M24" s="48">
        <f>+IF(AND(K24="",$K$4*B24&gt;100),0.05,0)</f>
        <v>0</v>
      </c>
      <c r="N24" s="49">
        <f>+ROUNDUP($K$4*B24*M24+L24,0)</f>
        <v>5</v>
      </c>
      <c r="O24" s="42">
        <f>+IF(OR(LEFT(I24&amp;"",1)="C",LEFT(I24&amp;"",1)="R"),ROUNDUP($K$4*B24+N24,-1),$K$4*B24+N24)</f>
        <v>9</v>
      </c>
    </row>
    <row r="25" spans="1:15" s="2" customFormat="1" ht="13" x14ac:dyDescent="0.25">
      <c r="A25" s="13"/>
      <c r="B25" s="46">
        <v>1</v>
      </c>
      <c r="C25" s="46" t="s">
        <v>41</v>
      </c>
      <c r="D25" s="68" t="s">
        <v>73</v>
      </c>
      <c r="E25" s="47" t="s">
        <v>120</v>
      </c>
      <c r="F25" s="47" t="s">
        <v>139</v>
      </c>
      <c r="G25" s="47" t="s">
        <v>206</v>
      </c>
      <c r="H25" s="47" t="s">
        <v>265</v>
      </c>
      <c r="I25" s="47" t="s">
        <v>295</v>
      </c>
      <c r="J25" s="47" t="s">
        <v>362</v>
      </c>
      <c r="K25" s="47" t="s">
        <v>378</v>
      </c>
      <c r="L25" s="49">
        <f t="shared" ref="L25" si="28">+IF(OR(K25="BGA",K25="FP",K25="TH"),1,IF($K$4*B25&lt;100,5,0))</f>
        <v>1</v>
      </c>
      <c r="M25" s="48">
        <f t="shared" ref="M25" si="29">+IF(AND(K25="",$K$4*B25&gt;100),0.05,0)</f>
        <v>0</v>
      </c>
      <c r="N25" s="49">
        <f t="shared" ref="N25" si="30">+ROUNDUP($K$4*B25*M25+L25,0)</f>
        <v>1</v>
      </c>
      <c r="O25" s="42">
        <f t="shared" ref="O25" si="31">+IF(OR(LEFT(I25&amp;"",1)="C",LEFT(I25&amp;"",1)="R"),ROUNDUP($K$4*B25+N25,-1),$K$4*B25+N25)</f>
        <v>5</v>
      </c>
    </row>
    <row r="26" spans="1:15" s="2" customFormat="1" ht="13" x14ac:dyDescent="0.25">
      <c r="A26" s="13"/>
      <c r="B26" s="46">
        <v>3</v>
      </c>
      <c r="C26" s="46" t="s">
        <v>42</v>
      </c>
      <c r="D26" s="68" t="s">
        <v>74</v>
      </c>
      <c r="E26" s="47" t="s">
        <v>120</v>
      </c>
      <c r="F26" s="47" t="s">
        <v>140</v>
      </c>
      <c r="G26" s="47" t="s">
        <v>207</v>
      </c>
      <c r="H26" s="47" t="s">
        <v>266</v>
      </c>
      <c r="I26" s="47" t="s">
        <v>296</v>
      </c>
      <c r="J26" s="47" t="s">
        <v>363</v>
      </c>
      <c r="K26" s="47" t="s">
        <v>378</v>
      </c>
      <c r="L26" s="49">
        <f>+IF(OR(K26="BGA",K26="FP",K26="TH"),1,IF($K$4*B26&lt;100,5,0))</f>
        <v>1</v>
      </c>
      <c r="M26" s="48">
        <f>+IF(AND(K26="",$K$4*B26&gt;100),0.05,0)</f>
        <v>0</v>
      </c>
      <c r="N26" s="49">
        <f>+ROUNDUP($K$4*B26*M26+L26,0)</f>
        <v>1</v>
      </c>
      <c r="O26" s="42">
        <f>+IF(OR(LEFT(I26&amp;"",1)="C",LEFT(I26&amp;"",1)="R"),ROUNDUP($K$4*B26+N26,-1),$K$4*B26+N26)</f>
        <v>13</v>
      </c>
    </row>
    <row r="27" spans="1:15" s="2" customFormat="1" ht="13" x14ac:dyDescent="0.25">
      <c r="A27" s="13"/>
      <c r="B27" s="46">
        <v>3</v>
      </c>
      <c r="C27" s="46" t="s">
        <v>42</v>
      </c>
      <c r="D27" s="68">
        <v>9508033</v>
      </c>
      <c r="E27" s="47" t="s">
        <v>120</v>
      </c>
      <c r="F27" s="47" t="s">
        <v>141</v>
      </c>
      <c r="G27" s="47" t="s">
        <v>208</v>
      </c>
      <c r="H27" s="47" t="s">
        <v>208</v>
      </c>
      <c r="I27" s="47" t="s">
        <v>297</v>
      </c>
      <c r="J27" s="47" t="s">
        <v>361</v>
      </c>
      <c r="K27" s="47" t="s">
        <v>379</v>
      </c>
      <c r="L27" s="49">
        <f t="shared" ref="L27" si="32">+IF(OR(K27="BGA",K27="FP",K27="TH"),1,IF($K$4*B27&lt;100,5,0))</f>
        <v>5</v>
      </c>
      <c r="M27" s="48">
        <f t="shared" ref="M27" si="33">+IF(AND(K27="",$K$4*B27&gt;100),0.05,0)</f>
        <v>0</v>
      </c>
      <c r="N27" s="49">
        <f t="shared" ref="N27" si="34">+ROUNDUP($K$4*B27*M27+L27,0)</f>
        <v>5</v>
      </c>
      <c r="O27" s="42">
        <f t="shared" ref="O27" si="35">+IF(OR(LEFT(I27&amp;"",1)="C",LEFT(I27&amp;"",1)="R"),ROUNDUP($K$4*B27+N27,-1),$K$4*B27+N27)</f>
        <v>17</v>
      </c>
    </row>
    <row r="28" spans="1:15" s="2" customFormat="1" ht="20.5" x14ac:dyDescent="0.25">
      <c r="A28" s="13"/>
      <c r="B28" s="46">
        <v>17</v>
      </c>
      <c r="C28" s="46" t="s">
        <v>42</v>
      </c>
      <c r="D28" s="68" t="s">
        <v>75</v>
      </c>
      <c r="E28" s="47" t="s">
        <v>120</v>
      </c>
      <c r="F28" s="47" t="s">
        <v>142</v>
      </c>
      <c r="G28" s="47" t="s">
        <v>209</v>
      </c>
      <c r="H28" s="47" t="s">
        <v>209</v>
      </c>
      <c r="I28" s="47" t="s">
        <v>298</v>
      </c>
      <c r="J28" s="47" t="s">
        <v>361</v>
      </c>
      <c r="K28" s="47" t="s">
        <v>379</v>
      </c>
      <c r="L28" s="49">
        <f>+IF(OR(K28="BGA",K28="FP",K28="TH"),1,IF($K$4*B28&lt;100,5,0))</f>
        <v>5</v>
      </c>
      <c r="M28" s="48">
        <f>+IF(AND(K28="",$K$4*B28&gt;100),0.05,0)</f>
        <v>0</v>
      </c>
      <c r="N28" s="49">
        <f>+ROUNDUP($K$4*B28*M28+L28,0)</f>
        <v>5</v>
      </c>
      <c r="O28" s="42">
        <f>+IF(OR(LEFT(I28&amp;"",1)="C",LEFT(I28&amp;"",1)="R"),ROUNDUP($K$4*B28+N28,-1),$K$4*B28+N28)</f>
        <v>73</v>
      </c>
    </row>
    <row r="29" spans="1:15" s="2" customFormat="1" ht="13" x14ac:dyDescent="0.25">
      <c r="A29" s="13"/>
      <c r="B29" s="46">
        <v>2</v>
      </c>
      <c r="C29" s="46" t="s">
        <v>41</v>
      </c>
      <c r="D29" s="68" t="s">
        <v>76</v>
      </c>
      <c r="E29" s="47" t="s">
        <v>120</v>
      </c>
      <c r="F29" s="47" t="s">
        <v>143</v>
      </c>
      <c r="G29" s="47" t="s">
        <v>210</v>
      </c>
      <c r="H29" s="47" t="s">
        <v>267</v>
      </c>
      <c r="I29" s="47" t="s">
        <v>299</v>
      </c>
      <c r="J29" s="47" t="s">
        <v>364</v>
      </c>
      <c r="K29" s="47" t="s">
        <v>378</v>
      </c>
      <c r="L29" s="49">
        <f t="shared" ref="L29" si="36">+IF(OR(K29="BGA",K29="FP",K29="TH"),1,IF($K$4*B29&lt;100,5,0))</f>
        <v>1</v>
      </c>
      <c r="M29" s="48">
        <f t="shared" ref="M29" si="37">+IF(AND(K29="",$K$4*B29&gt;100),0.05,0)</f>
        <v>0</v>
      </c>
      <c r="N29" s="49">
        <f t="shared" ref="N29" si="38">+ROUNDUP($K$4*B29*M29+L29,0)</f>
        <v>1</v>
      </c>
      <c r="O29" s="42">
        <f t="shared" ref="O29" si="39">+IF(OR(LEFT(I29&amp;"",1)="C",LEFT(I29&amp;"",1)="R"),ROUNDUP($K$4*B29+N29,-1),$K$4*B29+N29)</f>
        <v>9</v>
      </c>
    </row>
    <row r="30" spans="1:15" s="2" customFormat="1" ht="13" x14ac:dyDescent="0.25">
      <c r="A30" s="13"/>
      <c r="B30" s="46">
        <v>1</v>
      </c>
      <c r="C30" s="46" t="s">
        <v>42</v>
      </c>
      <c r="D30" s="68" t="s">
        <v>77</v>
      </c>
      <c r="E30" s="47" t="s">
        <v>120</v>
      </c>
      <c r="F30" s="47" t="s">
        <v>144</v>
      </c>
      <c r="G30" s="47" t="s">
        <v>211</v>
      </c>
      <c r="H30" s="47" t="s">
        <v>268</v>
      </c>
      <c r="I30" s="47" t="s">
        <v>300</v>
      </c>
      <c r="J30" s="47" t="s">
        <v>365</v>
      </c>
      <c r="K30" s="47" t="s">
        <v>378</v>
      </c>
      <c r="L30" s="49">
        <f>+IF(OR(K30="BGA",K30="FP",K30="TH"),1,IF($K$4*B30&lt;100,5,0))</f>
        <v>1</v>
      </c>
      <c r="M30" s="48">
        <f>+IF(AND(K30="",$K$4*B30&gt;100),0.05,0)</f>
        <v>0</v>
      </c>
      <c r="N30" s="49">
        <f>+ROUNDUP($K$4*B30*M30+L30,0)</f>
        <v>1</v>
      </c>
      <c r="O30" s="42">
        <f>+IF(OR(LEFT(I30&amp;"",1)="C",LEFT(I30&amp;"",1)="R"),ROUNDUP($K$4*B30+N30,-1),$K$4*B30+N30)</f>
        <v>5</v>
      </c>
    </row>
    <row r="31" spans="1:15" s="2" customFormat="1" ht="13" x14ac:dyDescent="0.25">
      <c r="A31" s="13"/>
      <c r="B31" s="46">
        <v>2</v>
      </c>
      <c r="C31" s="46" t="s">
        <v>41</v>
      </c>
      <c r="D31" s="68" t="s">
        <v>78</v>
      </c>
      <c r="E31" s="47" t="s">
        <v>122</v>
      </c>
      <c r="F31" s="47" t="s">
        <v>145</v>
      </c>
      <c r="G31" s="47" t="s">
        <v>212</v>
      </c>
      <c r="H31" s="47" t="s">
        <v>212</v>
      </c>
      <c r="I31" s="47" t="s">
        <v>301</v>
      </c>
      <c r="J31" s="47" t="s">
        <v>366</v>
      </c>
      <c r="K31" s="47" t="s">
        <v>378</v>
      </c>
      <c r="L31" s="49">
        <f t="shared" ref="L31" si="40">+IF(OR(K31="BGA",K31="FP",K31="TH"),1,IF($K$4*B31&lt;100,5,0))</f>
        <v>1</v>
      </c>
      <c r="M31" s="48">
        <f t="shared" ref="M31" si="41">+IF(AND(K31="",$K$4*B31&gt;100),0.05,0)</f>
        <v>0</v>
      </c>
      <c r="N31" s="49">
        <f t="shared" ref="N31" si="42">+ROUNDUP($K$4*B31*M31+L31,0)</f>
        <v>1</v>
      </c>
      <c r="O31" s="42">
        <f t="shared" ref="O31" si="43">+IF(OR(LEFT(I31&amp;"",1)="C",LEFT(I31&amp;"",1)="R"),ROUNDUP($K$4*B31+N31,-1),$K$4*B31+N31)</f>
        <v>9</v>
      </c>
    </row>
    <row r="32" spans="1:15" s="2" customFormat="1" ht="20.5" x14ac:dyDescent="0.25">
      <c r="A32" s="13"/>
      <c r="B32" s="46">
        <v>2</v>
      </c>
      <c r="C32" s="46" t="s">
        <v>41</v>
      </c>
      <c r="D32" s="68" t="s">
        <v>79</v>
      </c>
      <c r="E32" s="47" t="s">
        <v>120</v>
      </c>
      <c r="F32" s="47" t="s">
        <v>146</v>
      </c>
      <c r="G32" s="47" t="s">
        <v>213</v>
      </c>
      <c r="H32" s="47" t="s">
        <v>269</v>
      </c>
      <c r="I32" s="47" t="s">
        <v>302</v>
      </c>
      <c r="J32" s="47" t="s">
        <v>361</v>
      </c>
      <c r="K32" s="47" t="s">
        <v>379</v>
      </c>
      <c r="L32" s="49">
        <f>+IF(OR(K32="BGA",K32="FP",K32="TH"),1,IF($K$4*B32&lt;100,5,0))</f>
        <v>5</v>
      </c>
      <c r="M32" s="48">
        <f>+IF(AND(K32="",$K$4*B32&gt;100),0.05,0)</f>
        <v>0</v>
      </c>
      <c r="N32" s="49">
        <f>+ROUNDUP($K$4*B32*M32+L32,0)</f>
        <v>5</v>
      </c>
      <c r="O32" s="42">
        <f>+IF(OR(LEFT(I32&amp;"",1)="C",LEFT(I32&amp;"",1)="R"),ROUNDUP($K$4*B32+N32,-1),$K$4*B32+N32)</f>
        <v>13</v>
      </c>
    </row>
    <row r="33" spans="1:15" s="2" customFormat="1" ht="20.5" x14ac:dyDescent="0.25">
      <c r="A33" s="13"/>
      <c r="B33" s="46">
        <v>1</v>
      </c>
      <c r="C33" s="46" t="s">
        <v>42</v>
      </c>
      <c r="D33" s="68" t="s">
        <v>80</v>
      </c>
      <c r="E33" s="47" t="s">
        <v>120</v>
      </c>
      <c r="F33" s="47" t="s">
        <v>147</v>
      </c>
      <c r="G33" s="47" t="s">
        <v>214</v>
      </c>
      <c r="H33" s="47" t="s">
        <v>214</v>
      </c>
      <c r="I33" s="47" t="s">
        <v>303</v>
      </c>
      <c r="J33" s="47" t="s">
        <v>361</v>
      </c>
      <c r="K33" s="47" t="s">
        <v>379</v>
      </c>
      <c r="L33" s="49">
        <f t="shared" ref="L33" si="44">+IF(OR(K33="BGA",K33="FP",K33="TH"),1,IF($K$4*B33&lt;100,5,0))</f>
        <v>5</v>
      </c>
      <c r="M33" s="48">
        <f t="shared" ref="M33" si="45">+IF(AND(K33="",$K$4*B33&gt;100),0.05,0)</f>
        <v>0</v>
      </c>
      <c r="N33" s="49">
        <f t="shared" ref="N33" si="46">+ROUNDUP($K$4*B33*M33+L33,0)</f>
        <v>5</v>
      </c>
      <c r="O33" s="42">
        <f t="shared" ref="O33" si="47">+IF(OR(LEFT(I33&amp;"",1)="C",LEFT(I33&amp;"",1)="R"),ROUNDUP($K$4*B33+N33,-1),$K$4*B33+N33)</f>
        <v>9</v>
      </c>
    </row>
    <row r="34" spans="1:15" s="2" customFormat="1" ht="20.5" x14ac:dyDescent="0.25">
      <c r="A34" s="13"/>
      <c r="B34" s="46">
        <v>5</v>
      </c>
      <c r="C34" s="46" t="s">
        <v>41</v>
      </c>
      <c r="D34" s="68" t="s">
        <v>81</v>
      </c>
      <c r="E34" s="47" t="s">
        <v>120</v>
      </c>
      <c r="F34" s="47" t="s">
        <v>148</v>
      </c>
      <c r="G34" s="47" t="s">
        <v>215</v>
      </c>
      <c r="H34" s="47" t="s">
        <v>215</v>
      </c>
      <c r="I34" s="47" t="s">
        <v>304</v>
      </c>
      <c r="J34" s="47" t="s">
        <v>361</v>
      </c>
      <c r="K34" s="47" t="s">
        <v>379</v>
      </c>
      <c r="L34" s="49">
        <f>+IF(OR(K34="BGA",K34="FP",K34="TH"),1,IF($K$4*B34&lt;100,5,0))</f>
        <v>5</v>
      </c>
      <c r="M34" s="48">
        <f>+IF(AND(K34="",$K$4*B34&gt;100),0.05,0)</f>
        <v>0</v>
      </c>
      <c r="N34" s="49">
        <f>+ROUNDUP($K$4*B34*M34+L34,0)</f>
        <v>5</v>
      </c>
      <c r="O34" s="42">
        <f>+IF(OR(LEFT(I34&amp;"",1)="C",LEFT(I34&amp;"",1)="R"),ROUNDUP($K$4*B34+N34,-1),$K$4*B34+N34)</f>
        <v>25</v>
      </c>
    </row>
    <row r="35" spans="1:15" s="2" customFormat="1" ht="30.5" x14ac:dyDescent="0.25">
      <c r="A35" s="13"/>
      <c r="B35" s="46">
        <v>1</v>
      </c>
      <c r="C35" s="46" t="s">
        <v>41</v>
      </c>
      <c r="D35" s="68" t="s">
        <v>82</v>
      </c>
      <c r="E35" s="47" t="s">
        <v>120</v>
      </c>
      <c r="F35" s="47" t="s">
        <v>149</v>
      </c>
      <c r="G35" s="47" t="s">
        <v>216</v>
      </c>
      <c r="H35" s="47" t="s">
        <v>216</v>
      </c>
      <c r="I35" s="47" t="s">
        <v>305</v>
      </c>
      <c r="J35" s="47" t="s">
        <v>361</v>
      </c>
      <c r="K35" s="47" t="s">
        <v>379</v>
      </c>
      <c r="L35" s="49">
        <f t="shared" ref="L35" si="48">+IF(OR(K35="BGA",K35="FP",K35="TH"),1,IF($K$4*B35&lt;100,5,0))</f>
        <v>5</v>
      </c>
      <c r="M35" s="48">
        <f t="shared" ref="M35" si="49">+IF(AND(K35="",$K$4*B35&gt;100),0.05,0)</f>
        <v>0</v>
      </c>
      <c r="N35" s="49">
        <f t="shared" ref="N35" si="50">+ROUNDUP($K$4*B35*M35+L35,0)</f>
        <v>5</v>
      </c>
      <c r="O35" s="42">
        <f t="shared" ref="O35" si="51">+IF(OR(LEFT(I35&amp;"",1)="C",LEFT(I35&amp;"",1)="R"),ROUNDUP($K$4*B35+N35,-1),$K$4*B35+N35)</f>
        <v>9</v>
      </c>
    </row>
    <row r="36" spans="1:15" s="2" customFormat="1" ht="30.5" x14ac:dyDescent="0.25">
      <c r="A36" s="13"/>
      <c r="B36" s="46">
        <v>1</v>
      </c>
      <c r="C36" s="46" t="s">
        <v>41</v>
      </c>
      <c r="D36" s="68" t="s">
        <v>83</v>
      </c>
      <c r="E36" s="47" t="s">
        <v>122</v>
      </c>
      <c r="F36" s="47" t="s">
        <v>150</v>
      </c>
      <c r="G36" s="47" t="s">
        <v>217</v>
      </c>
      <c r="H36" s="47" t="s">
        <v>217</v>
      </c>
      <c r="I36" s="47" t="s">
        <v>306</v>
      </c>
      <c r="J36" s="47" t="s">
        <v>361</v>
      </c>
      <c r="K36" s="47" t="s">
        <v>379</v>
      </c>
      <c r="L36" s="49">
        <f>+IF(OR(K36="BGA",K36="FP",K36="TH"),1,IF($K$4*B36&lt;100,5,0))</f>
        <v>5</v>
      </c>
      <c r="M36" s="48">
        <f>+IF(AND(K36="",$K$4*B36&gt;100),0.05,0)</f>
        <v>0</v>
      </c>
      <c r="N36" s="49">
        <f>+ROUNDUP($K$4*B36*M36+L36,0)</f>
        <v>5</v>
      </c>
      <c r="O36" s="42">
        <f>+IF(OR(LEFT(I36&amp;"",1)="C",LEFT(I36&amp;"",1)="R"),ROUNDUP($K$4*B36+N36,-1),$K$4*B36+N36)</f>
        <v>9</v>
      </c>
    </row>
    <row r="37" spans="1:15" s="2" customFormat="1" ht="13" x14ac:dyDescent="0.25">
      <c r="A37" s="13"/>
      <c r="B37" s="46">
        <v>4</v>
      </c>
      <c r="C37" s="46" t="s">
        <v>43</v>
      </c>
      <c r="D37" s="68">
        <v>9904</v>
      </c>
      <c r="E37" s="47" t="s">
        <v>120</v>
      </c>
      <c r="F37" s="47" t="s">
        <v>151</v>
      </c>
      <c r="G37" s="47" t="s">
        <v>218</v>
      </c>
      <c r="H37" s="47" t="s">
        <v>218</v>
      </c>
      <c r="I37" s="47" t="s">
        <v>307</v>
      </c>
      <c r="J37" s="47" t="s">
        <v>361</v>
      </c>
      <c r="K37" s="47" t="s">
        <v>379</v>
      </c>
      <c r="L37" s="49">
        <f t="shared" ref="L37" si="52">+IF(OR(K37="BGA",K37="FP",K37="TH"),1,IF($K$4*B37&lt;100,5,0))</f>
        <v>5</v>
      </c>
      <c r="M37" s="48">
        <f t="shared" ref="M37" si="53">+IF(AND(K37="",$K$4*B37&gt;100),0.05,0)</f>
        <v>0</v>
      </c>
      <c r="N37" s="49">
        <f t="shared" ref="N37" si="54">+ROUNDUP($K$4*B37*M37+L37,0)</f>
        <v>5</v>
      </c>
      <c r="O37" s="42">
        <f t="shared" ref="O37" si="55">+IF(OR(LEFT(I37&amp;"",1)="C",LEFT(I37&amp;"",1)="R"),ROUNDUP($K$4*B37+N37,-1),$K$4*B37+N37)</f>
        <v>21</v>
      </c>
    </row>
    <row r="38" spans="1:15" s="2" customFormat="1" ht="13" x14ac:dyDescent="0.25">
      <c r="A38" s="13"/>
      <c r="B38" s="46">
        <v>4</v>
      </c>
      <c r="C38" s="46" t="s">
        <v>43</v>
      </c>
      <c r="D38" s="68">
        <v>9602</v>
      </c>
      <c r="E38" s="47" t="s">
        <v>120</v>
      </c>
      <c r="F38" s="47" t="s">
        <v>152</v>
      </c>
      <c r="G38" s="47" t="s">
        <v>219</v>
      </c>
      <c r="H38" s="47" t="s">
        <v>219</v>
      </c>
      <c r="I38" s="47" t="s">
        <v>308</v>
      </c>
      <c r="J38" s="47" t="s">
        <v>361</v>
      </c>
      <c r="K38" s="47" t="s">
        <v>379</v>
      </c>
      <c r="L38" s="49">
        <f>+IF(OR(K38="BGA",K38="FP",K38="TH"),1,IF($K$4*B38&lt;100,5,0))</f>
        <v>5</v>
      </c>
      <c r="M38" s="48">
        <f>+IF(AND(K38="",$K$4*B38&gt;100),0.05,0)</f>
        <v>0</v>
      </c>
      <c r="N38" s="49">
        <f>+ROUNDUP($K$4*B38*M38+L38,0)</f>
        <v>5</v>
      </c>
      <c r="O38" s="42">
        <f>+IF(OR(LEFT(I38&amp;"",1)="C",LEFT(I38&amp;"",1)="R"),ROUNDUP($K$4*B38+N38,-1),$K$4*B38+N38)</f>
        <v>21</v>
      </c>
    </row>
    <row r="39" spans="1:15" s="2" customFormat="1" ht="20.5" x14ac:dyDescent="0.25">
      <c r="A39" s="13"/>
      <c r="B39" s="46">
        <v>2</v>
      </c>
      <c r="C39" s="46" t="s">
        <v>44</v>
      </c>
      <c r="D39" s="68" t="s">
        <v>84</v>
      </c>
      <c r="E39" s="47" t="s">
        <v>120</v>
      </c>
      <c r="F39" s="47" t="s">
        <v>153</v>
      </c>
      <c r="G39" s="47" t="s">
        <v>220</v>
      </c>
      <c r="H39" s="47" t="s">
        <v>220</v>
      </c>
      <c r="I39" s="47" t="s">
        <v>309</v>
      </c>
      <c r="J39" s="47" t="s">
        <v>361</v>
      </c>
      <c r="K39" s="47" t="s">
        <v>379</v>
      </c>
      <c r="L39" s="49">
        <f t="shared" ref="L39" si="56">+IF(OR(K39="BGA",K39="FP",K39="TH"),1,IF($K$4*B39&lt;100,5,0))</f>
        <v>5</v>
      </c>
      <c r="M39" s="48">
        <f t="shared" ref="M39" si="57">+IF(AND(K39="",$K$4*B39&gt;100),0.05,0)</f>
        <v>0</v>
      </c>
      <c r="N39" s="49">
        <f t="shared" ref="N39" si="58">+ROUNDUP($K$4*B39*M39+L39,0)</f>
        <v>5</v>
      </c>
      <c r="O39" s="42">
        <f t="shared" ref="O39" si="59">+IF(OR(LEFT(I39&amp;"",1)="C",LEFT(I39&amp;"",1)="R"),ROUNDUP($K$4*B39+N39,-1),$K$4*B39+N39)</f>
        <v>13</v>
      </c>
    </row>
    <row r="40" spans="1:15" s="2" customFormat="1" ht="13" x14ac:dyDescent="0.25">
      <c r="A40" s="13"/>
      <c r="B40" s="46">
        <v>1</v>
      </c>
      <c r="C40" s="46" t="s">
        <v>45</v>
      </c>
      <c r="D40" s="68" t="s">
        <v>85</v>
      </c>
      <c r="E40" s="47" t="s">
        <v>120</v>
      </c>
      <c r="F40" s="47" t="s">
        <v>154</v>
      </c>
      <c r="G40" s="47" t="s">
        <v>221</v>
      </c>
      <c r="H40" s="47" t="s">
        <v>221</v>
      </c>
      <c r="I40" s="47" t="s">
        <v>310</v>
      </c>
      <c r="J40" s="47" t="s">
        <v>361</v>
      </c>
      <c r="K40" s="47" t="s">
        <v>379</v>
      </c>
      <c r="L40" s="49">
        <f>+IF(OR(K40="BGA",K40="FP",K40="TH"),1,IF($K$4*B40&lt;100,5,0))</f>
        <v>5</v>
      </c>
      <c r="M40" s="48">
        <f>+IF(AND(K40="",$K$4*B40&gt;100),0.05,0)</f>
        <v>0</v>
      </c>
      <c r="N40" s="49">
        <f>+ROUNDUP($K$4*B40*M40+L40,0)</f>
        <v>5</v>
      </c>
      <c r="O40" s="42">
        <f>+IF(OR(LEFT(I40&amp;"",1)="C",LEFT(I40&amp;"",1)="R"),ROUNDUP($K$4*B40+N40,-1),$K$4*B40+N40)</f>
        <v>9</v>
      </c>
    </row>
    <row r="41" spans="1:15" s="2" customFormat="1" ht="13" x14ac:dyDescent="0.25">
      <c r="A41" s="13"/>
      <c r="B41" s="46">
        <v>1</v>
      </c>
      <c r="C41" s="46" t="s">
        <v>46</v>
      </c>
      <c r="D41" s="68" t="s">
        <v>86</v>
      </c>
      <c r="E41" s="47" t="s">
        <v>122</v>
      </c>
      <c r="F41" s="47" t="s">
        <v>155</v>
      </c>
      <c r="G41" s="47" t="s">
        <v>222</v>
      </c>
      <c r="H41" s="47" t="s">
        <v>222</v>
      </c>
      <c r="I41" s="47" t="s">
        <v>311</v>
      </c>
      <c r="J41" s="47" t="s">
        <v>361</v>
      </c>
      <c r="K41" s="47" t="s">
        <v>379</v>
      </c>
      <c r="L41" s="49">
        <f t="shared" ref="L41" si="60">+IF(OR(K41="BGA",K41="FP",K41="TH"),1,IF($K$4*B41&lt;100,5,0))</f>
        <v>5</v>
      </c>
      <c r="M41" s="48">
        <f t="shared" ref="M41" si="61">+IF(AND(K41="",$K$4*B41&gt;100),0.05,0)</f>
        <v>0</v>
      </c>
      <c r="N41" s="49">
        <f t="shared" ref="N41" si="62">+ROUNDUP($K$4*B41*M41+L41,0)</f>
        <v>5</v>
      </c>
      <c r="O41" s="42">
        <f t="shared" ref="O41" si="63">+IF(OR(LEFT(I41&amp;"",1)="C",LEFT(I41&amp;"",1)="R"),ROUNDUP($K$4*B41+N41,-1),$K$4*B41+N41)</f>
        <v>9</v>
      </c>
    </row>
    <row r="42" spans="1:15" s="2" customFormat="1" ht="20.5" x14ac:dyDescent="0.25">
      <c r="A42" s="13"/>
      <c r="B42" s="46">
        <v>5</v>
      </c>
      <c r="C42" s="46" t="s">
        <v>41</v>
      </c>
      <c r="D42" s="68" t="s">
        <v>87</v>
      </c>
      <c r="E42" s="47" t="s">
        <v>120</v>
      </c>
      <c r="F42" s="47" t="s">
        <v>156</v>
      </c>
      <c r="G42" s="47" t="s">
        <v>223</v>
      </c>
      <c r="H42" s="47" t="s">
        <v>223</v>
      </c>
      <c r="I42" s="47" t="s">
        <v>312</v>
      </c>
      <c r="J42" s="47" t="s">
        <v>361</v>
      </c>
      <c r="K42" s="47" t="s">
        <v>379</v>
      </c>
      <c r="L42" s="49">
        <f>+IF(OR(K42="BGA",K42="FP",K42="TH"),1,IF($K$4*B42&lt;100,5,0))</f>
        <v>5</v>
      </c>
      <c r="M42" s="48">
        <f>+IF(AND(K42="",$K$4*B42&gt;100),0.05,0)</f>
        <v>0</v>
      </c>
      <c r="N42" s="49">
        <f>+ROUNDUP($K$4*B42*M42+L42,0)</f>
        <v>5</v>
      </c>
      <c r="O42" s="42">
        <f>+IF(OR(LEFT(I42&amp;"",1)="C",LEFT(I42&amp;"",1)="R"),ROUNDUP($K$4*B42+N42,-1),$K$4*B42+N42)</f>
        <v>25</v>
      </c>
    </row>
    <row r="43" spans="1:15" s="2" customFormat="1" ht="20.5" x14ac:dyDescent="0.25">
      <c r="A43" s="13"/>
      <c r="B43" s="46">
        <v>4</v>
      </c>
      <c r="C43" s="46" t="s">
        <v>41</v>
      </c>
      <c r="D43" s="68" t="s">
        <v>88</v>
      </c>
      <c r="E43" s="47" t="s">
        <v>120</v>
      </c>
      <c r="F43" s="47" t="s">
        <v>157</v>
      </c>
      <c r="G43" s="47" t="s">
        <v>224</v>
      </c>
      <c r="H43" s="47" t="s">
        <v>224</v>
      </c>
      <c r="I43" s="47" t="s">
        <v>313</v>
      </c>
      <c r="J43" s="47" t="s">
        <v>361</v>
      </c>
      <c r="K43" s="47" t="s">
        <v>379</v>
      </c>
      <c r="L43" s="49">
        <f t="shared" ref="L43" si="64">+IF(OR(K43="BGA",K43="FP",K43="TH"),1,IF($K$4*B43&lt;100,5,0))</f>
        <v>5</v>
      </c>
      <c r="M43" s="48">
        <f t="shared" ref="M43" si="65">+IF(AND(K43="",$K$4*B43&gt;100),0.05,0)</f>
        <v>0</v>
      </c>
      <c r="N43" s="49">
        <f t="shared" ref="N43" si="66">+ROUNDUP($K$4*B43*M43+L43,0)</f>
        <v>5</v>
      </c>
      <c r="O43" s="42">
        <f t="shared" ref="O43" si="67">+IF(OR(LEFT(I43&amp;"",1)="C",LEFT(I43&amp;"",1)="R"),ROUNDUP($K$4*B43+N43,-1),$K$4*B43+N43)</f>
        <v>21</v>
      </c>
    </row>
    <row r="44" spans="1:15" s="2" customFormat="1" ht="20.5" x14ac:dyDescent="0.25">
      <c r="A44" s="13"/>
      <c r="B44" s="46">
        <v>1</v>
      </c>
      <c r="C44" s="46" t="s">
        <v>39</v>
      </c>
      <c r="D44" s="68" t="s">
        <v>89</v>
      </c>
      <c r="E44" s="47" t="s">
        <v>120</v>
      </c>
      <c r="F44" s="47" t="s">
        <v>158</v>
      </c>
      <c r="G44" s="47" t="s">
        <v>225</v>
      </c>
      <c r="H44" s="47" t="s">
        <v>270</v>
      </c>
      <c r="I44" s="47" t="s">
        <v>314</v>
      </c>
      <c r="J44" s="47" t="s">
        <v>361</v>
      </c>
      <c r="K44" s="47" t="s">
        <v>379</v>
      </c>
      <c r="L44" s="49">
        <f>+IF(OR(K44="BGA",K44="FP",K44="TH"),1,IF($K$4*B44&lt;100,5,0))</f>
        <v>5</v>
      </c>
      <c r="M44" s="48">
        <f>+IF(AND(K44="",$K$4*B44&gt;100),0.05,0)</f>
        <v>0</v>
      </c>
      <c r="N44" s="49">
        <f>+ROUNDUP($K$4*B44*M44+L44,0)</f>
        <v>5</v>
      </c>
      <c r="O44" s="42">
        <f>+IF(OR(LEFT(I44&amp;"",1)="C",LEFT(I44&amp;"",1)="R"),ROUNDUP($K$4*B44+N44,-1),$K$4*B44+N44)</f>
        <v>9</v>
      </c>
    </row>
    <row r="45" spans="1:15" s="2" customFormat="1" ht="20.5" x14ac:dyDescent="0.25">
      <c r="A45" s="13"/>
      <c r="B45" s="46">
        <v>2</v>
      </c>
      <c r="C45" s="46" t="s">
        <v>47</v>
      </c>
      <c r="D45" s="68" t="s">
        <v>90</v>
      </c>
      <c r="E45" s="47" t="s">
        <v>120</v>
      </c>
      <c r="F45" s="47" t="s">
        <v>159</v>
      </c>
      <c r="G45" s="47" t="s">
        <v>226</v>
      </c>
      <c r="H45" s="47" t="s">
        <v>226</v>
      </c>
      <c r="I45" s="47" t="s">
        <v>315</v>
      </c>
      <c r="J45" s="47" t="s">
        <v>361</v>
      </c>
      <c r="K45" s="47" t="s">
        <v>379</v>
      </c>
      <c r="L45" s="49">
        <f t="shared" ref="L45" si="68">+IF(OR(K45="BGA",K45="FP",K45="TH"),1,IF($K$4*B45&lt;100,5,0))</f>
        <v>5</v>
      </c>
      <c r="M45" s="48">
        <f t="shared" ref="M45" si="69">+IF(AND(K45="",$K$4*B45&gt;100),0.05,0)</f>
        <v>0</v>
      </c>
      <c r="N45" s="49">
        <f t="shared" ref="N45" si="70">+ROUNDUP($K$4*B45*M45+L45,0)</f>
        <v>5</v>
      </c>
      <c r="O45" s="42">
        <f t="shared" ref="O45" si="71">+IF(OR(LEFT(I45&amp;"",1)="C",LEFT(I45&amp;"",1)="R"),ROUNDUP($K$4*B45+N45,-1),$K$4*B45+N45)</f>
        <v>13</v>
      </c>
    </row>
    <row r="46" spans="1:15" s="2" customFormat="1" ht="20.5" x14ac:dyDescent="0.25">
      <c r="A46" s="13"/>
      <c r="B46" s="46">
        <v>1</v>
      </c>
      <c r="C46" s="46" t="s">
        <v>41</v>
      </c>
      <c r="D46" s="68" t="s">
        <v>91</v>
      </c>
      <c r="E46" s="47" t="s">
        <v>120</v>
      </c>
      <c r="F46" s="47" t="s">
        <v>160</v>
      </c>
      <c r="G46" s="47" t="s">
        <v>227</v>
      </c>
      <c r="H46" s="47" t="s">
        <v>227</v>
      </c>
      <c r="I46" s="47" t="s">
        <v>316</v>
      </c>
      <c r="J46" s="47" t="s">
        <v>361</v>
      </c>
      <c r="K46" s="47" t="s">
        <v>379</v>
      </c>
      <c r="L46" s="49">
        <f>+IF(OR(K46="BGA",K46="FP",K46="TH"),1,IF($K$4*B46&lt;100,5,0))</f>
        <v>5</v>
      </c>
      <c r="M46" s="48">
        <f>+IF(AND(K46="",$K$4*B46&gt;100),0.05,0)</f>
        <v>0</v>
      </c>
      <c r="N46" s="49">
        <f>+ROUNDUP($K$4*B46*M46+L46,0)</f>
        <v>5</v>
      </c>
      <c r="O46" s="42">
        <f>+IF(OR(LEFT(I46&amp;"",1)="C",LEFT(I46&amp;"",1)="R"),ROUNDUP($K$4*B46+N46,-1),$K$4*B46+N46)</f>
        <v>9</v>
      </c>
    </row>
    <row r="47" spans="1:15" s="2" customFormat="1" ht="20.5" x14ac:dyDescent="0.25">
      <c r="A47" s="13"/>
      <c r="B47" s="46">
        <v>1</v>
      </c>
      <c r="C47" s="46" t="s">
        <v>41</v>
      </c>
      <c r="D47" s="68" t="s">
        <v>92</v>
      </c>
      <c r="E47" s="47" t="s">
        <v>122</v>
      </c>
      <c r="F47" s="47" t="s">
        <v>161</v>
      </c>
      <c r="G47" s="47" t="s">
        <v>228</v>
      </c>
      <c r="H47" s="47" t="s">
        <v>228</v>
      </c>
      <c r="I47" s="47" t="s">
        <v>317</v>
      </c>
      <c r="J47" s="47" t="s">
        <v>361</v>
      </c>
      <c r="K47" s="47" t="s">
        <v>379</v>
      </c>
      <c r="L47" s="49">
        <f t="shared" ref="L47" si="72">+IF(OR(K47="BGA",K47="FP",K47="TH"),1,IF($K$4*B47&lt;100,5,0))</f>
        <v>5</v>
      </c>
      <c r="M47" s="48">
        <f t="shared" ref="M47" si="73">+IF(AND(K47="",$K$4*B47&gt;100),0.05,0)</f>
        <v>0</v>
      </c>
      <c r="N47" s="49">
        <f t="shared" ref="N47" si="74">+ROUNDUP($K$4*B47*M47+L47,0)</f>
        <v>5</v>
      </c>
      <c r="O47" s="42">
        <f t="shared" ref="O47" si="75">+IF(OR(LEFT(I47&amp;"",1)="C",LEFT(I47&amp;"",1)="R"),ROUNDUP($K$4*B47+N47,-1),$K$4*B47+N47)</f>
        <v>9</v>
      </c>
    </row>
    <row r="48" spans="1:15" s="2" customFormat="1" ht="13" x14ac:dyDescent="0.25">
      <c r="A48" s="13"/>
      <c r="B48" s="46">
        <v>1</v>
      </c>
      <c r="C48" s="46" t="s">
        <v>48</v>
      </c>
      <c r="D48" s="68">
        <v>4435.0038999999997</v>
      </c>
      <c r="E48" s="47" t="s">
        <v>120</v>
      </c>
      <c r="F48" s="47" t="s">
        <v>162</v>
      </c>
      <c r="G48" s="47" t="s">
        <v>229</v>
      </c>
      <c r="H48" s="47" t="s">
        <v>229</v>
      </c>
      <c r="I48" s="47" t="s">
        <v>318</v>
      </c>
      <c r="J48" s="47" t="s">
        <v>361</v>
      </c>
      <c r="K48" s="47" t="s">
        <v>379</v>
      </c>
      <c r="L48" s="49">
        <f>+IF(OR(K48="BGA",K48="FP",K48="TH"),1,IF($K$4*B48&lt;100,5,0))</f>
        <v>5</v>
      </c>
      <c r="M48" s="48">
        <f>+IF(AND(K48="",$K$4*B48&gt;100),0.05,0)</f>
        <v>0</v>
      </c>
      <c r="N48" s="49">
        <f>+ROUNDUP($K$4*B48*M48+L48,0)</f>
        <v>5</v>
      </c>
      <c r="O48" s="42">
        <f>+IF(OR(LEFT(I48&amp;"",1)="C",LEFT(I48&amp;"",1)="R"),ROUNDUP($K$4*B48+N48,-1),$K$4*B48+N48)</f>
        <v>9</v>
      </c>
    </row>
    <row r="49" spans="1:15" s="2" customFormat="1" ht="13" x14ac:dyDescent="0.25">
      <c r="A49" s="13"/>
      <c r="B49" s="46">
        <v>6</v>
      </c>
      <c r="C49" s="46" t="s">
        <v>29</v>
      </c>
      <c r="D49" s="68" t="s">
        <v>93</v>
      </c>
      <c r="E49" s="47" t="s">
        <v>120</v>
      </c>
      <c r="F49" s="47" t="s">
        <v>163</v>
      </c>
      <c r="G49" s="47" t="s">
        <v>230</v>
      </c>
      <c r="H49" s="47" t="s">
        <v>271</v>
      </c>
      <c r="I49" s="47" t="s">
        <v>319</v>
      </c>
      <c r="J49" s="47" t="s">
        <v>367</v>
      </c>
      <c r="K49" s="47" t="s">
        <v>361</v>
      </c>
      <c r="L49" s="49">
        <f t="shared" ref="L49" si="76">+IF(OR(K49="BGA",K49="FP",K49="TH"),1,IF($K$4*B49&lt;100,5,0))</f>
        <v>5</v>
      </c>
      <c r="M49" s="48">
        <f t="shared" ref="M49" si="77">+IF(AND(K49="",$K$4*B49&gt;100),0.05,0)</f>
        <v>0</v>
      </c>
      <c r="N49" s="49">
        <f t="shared" ref="N49" si="78">+ROUNDUP($K$4*B49*M49+L49,0)</f>
        <v>5</v>
      </c>
      <c r="O49" s="42">
        <f t="shared" ref="O49" si="79">+IF(OR(LEFT(I49&amp;"",1)="C",LEFT(I49&amp;"",1)="R"),ROUNDUP($K$4*B49+N49,-1),$K$4*B49+N49)</f>
        <v>30</v>
      </c>
    </row>
    <row r="50" spans="1:15" s="2" customFormat="1" ht="13" x14ac:dyDescent="0.25">
      <c r="A50" s="13"/>
      <c r="B50" s="46">
        <v>6</v>
      </c>
      <c r="C50" s="46" t="s">
        <v>29</v>
      </c>
      <c r="D50" s="68" t="s">
        <v>94</v>
      </c>
      <c r="E50" s="47" t="s">
        <v>120</v>
      </c>
      <c r="F50" s="47" t="s">
        <v>164</v>
      </c>
      <c r="G50" s="47" t="s">
        <v>231</v>
      </c>
      <c r="H50" s="47" t="s">
        <v>271</v>
      </c>
      <c r="I50" s="47" t="s">
        <v>320</v>
      </c>
      <c r="J50" s="47" t="s">
        <v>367</v>
      </c>
      <c r="K50" s="47" t="s">
        <v>361</v>
      </c>
      <c r="L50" s="49">
        <f>+IF(OR(K50="BGA",K50="FP",K50="TH"),1,IF($K$4*B50&lt;100,5,0))</f>
        <v>5</v>
      </c>
      <c r="M50" s="48">
        <f>+IF(AND(K50="",$K$4*B50&gt;100),0.05,0)</f>
        <v>0</v>
      </c>
      <c r="N50" s="49">
        <f>+ROUNDUP($K$4*B50*M50+L50,0)</f>
        <v>5</v>
      </c>
      <c r="O50" s="42">
        <f>+IF(OR(LEFT(I50&amp;"",1)="C",LEFT(I50&amp;"",1)="R"),ROUNDUP($K$4*B50+N50,-1),$K$4*B50+N50)</f>
        <v>30</v>
      </c>
    </row>
    <row r="51" spans="1:15" s="2" customFormat="1" ht="13" x14ac:dyDescent="0.25">
      <c r="A51" s="13"/>
      <c r="B51" s="46">
        <v>6</v>
      </c>
      <c r="C51" s="46" t="s">
        <v>29</v>
      </c>
      <c r="D51" s="68" t="s">
        <v>95</v>
      </c>
      <c r="E51" s="47" t="s">
        <v>120</v>
      </c>
      <c r="F51" s="47" t="s">
        <v>165</v>
      </c>
      <c r="G51" s="47" t="s">
        <v>232</v>
      </c>
      <c r="H51" s="47" t="s">
        <v>232</v>
      </c>
      <c r="I51" s="47" t="s">
        <v>321</v>
      </c>
      <c r="J51" s="47" t="s">
        <v>367</v>
      </c>
      <c r="K51" s="47" t="s">
        <v>361</v>
      </c>
      <c r="L51" s="49">
        <f t="shared" ref="L51" si="80">+IF(OR(K51="BGA",K51="FP",K51="TH"),1,IF($K$4*B51&lt;100,5,0))</f>
        <v>5</v>
      </c>
      <c r="M51" s="48">
        <f t="shared" ref="M51" si="81">+IF(AND(K51="",$K$4*B51&gt;100),0.05,0)</f>
        <v>0</v>
      </c>
      <c r="N51" s="49">
        <f t="shared" ref="N51" si="82">+ROUNDUP($K$4*B51*M51+L51,0)</f>
        <v>5</v>
      </c>
      <c r="O51" s="42">
        <f t="shared" ref="O51" si="83">+IF(OR(LEFT(I51&amp;"",1)="C",LEFT(I51&amp;"",1)="R"),ROUNDUP($K$4*B51+N51,-1),$K$4*B51+N51)</f>
        <v>30</v>
      </c>
    </row>
    <row r="52" spans="1:15" s="2" customFormat="1" ht="13" x14ac:dyDescent="0.25">
      <c r="A52" s="13"/>
      <c r="B52" s="46">
        <v>6</v>
      </c>
      <c r="C52" s="46" t="s">
        <v>29</v>
      </c>
      <c r="D52" s="68" t="s">
        <v>96</v>
      </c>
      <c r="E52" s="47" t="s">
        <v>120</v>
      </c>
      <c r="F52" s="47" t="s">
        <v>166</v>
      </c>
      <c r="G52" s="47" t="s">
        <v>233</v>
      </c>
      <c r="H52" s="47" t="s">
        <v>271</v>
      </c>
      <c r="I52" s="47" t="s">
        <v>322</v>
      </c>
      <c r="J52" s="47" t="s">
        <v>367</v>
      </c>
      <c r="K52" s="47" t="s">
        <v>361</v>
      </c>
      <c r="L52" s="49">
        <f>+IF(OR(K52="BGA",K52="FP",K52="TH"),1,IF($K$4*B52&lt;100,5,0))</f>
        <v>5</v>
      </c>
      <c r="M52" s="48">
        <f>+IF(AND(K52="",$K$4*B52&gt;100),0.05,0)</f>
        <v>0</v>
      </c>
      <c r="N52" s="49">
        <f>+ROUNDUP($K$4*B52*M52+L52,0)</f>
        <v>5</v>
      </c>
      <c r="O52" s="42">
        <f>+IF(OR(LEFT(I52&amp;"",1)="C",LEFT(I52&amp;"",1)="R"),ROUNDUP($K$4*B52+N52,-1),$K$4*B52+N52)</f>
        <v>30</v>
      </c>
    </row>
    <row r="53" spans="1:15" s="2" customFormat="1" ht="60.5" x14ac:dyDescent="0.25">
      <c r="A53" s="13"/>
      <c r="B53" s="46">
        <v>25</v>
      </c>
      <c r="C53" s="46" t="s">
        <v>49</v>
      </c>
      <c r="D53" s="68" t="s">
        <v>97</v>
      </c>
      <c r="E53" s="47" t="s">
        <v>120</v>
      </c>
      <c r="F53" s="47" t="s">
        <v>167</v>
      </c>
      <c r="G53" s="47" t="s">
        <v>234</v>
      </c>
      <c r="H53" s="47" t="s">
        <v>271</v>
      </c>
      <c r="I53" s="47" t="s">
        <v>323</v>
      </c>
      <c r="J53" s="47" t="s">
        <v>367</v>
      </c>
      <c r="K53" s="47" t="s">
        <v>361</v>
      </c>
      <c r="L53" s="49">
        <f t="shared" ref="L53" si="84">+IF(OR(K53="BGA",K53="FP",K53="TH"),1,IF($K$4*B53&lt;100,5,0))</f>
        <v>0</v>
      </c>
      <c r="M53" s="48">
        <f t="shared" ref="M53" si="85">+IF(AND(K53="",$K$4*B53&gt;100),0.05,0)</f>
        <v>0</v>
      </c>
      <c r="N53" s="49">
        <f t="shared" ref="N53" si="86">+ROUNDUP($K$4*B53*M53+L53,0)</f>
        <v>0</v>
      </c>
      <c r="O53" s="42">
        <f t="shared" ref="O53" si="87">+IF(OR(LEFT(I53&amp;"",1)="C",LEFT(I53&amp;"",1)="R"),ROUNDUP($K$4*B53+N53,-1),$K$4*B53+N53)</f>
        <v>100</v>
      </c>
    </row>
    <row r="54" spans="1:15" s="2" customFormat="1" ht="13" x14ac:dyDescent="0.25">
      <c r="A54" s="13"/>
      <c r="B54" s="46">
        <v>1</v>
      </c>
      <c r="C54" s="46" t="s">
        <v>50</v>
      </c>
      <c r="D54" s="68" t="s">
        <v>98</v>
      </c>
      <c r="E54" s="47" t="s">
        <v>120</v>
      </c>
      <c r="F54" s="47" t="s">
        <v>168</v>
      </c>
      <c r="G54" s="47" t="s">
        <v>235</v>
      </c>
      <c r="H54" s="47" t="s">
        <v>235</v>
      </c>
      <c r="I54" s="47" t="s">
        <v>324</v>
      </c>
      <c r="J54" s="47" t="s">
        <v>368</v>
      </c>
      <c r="K54" s="47"/>
      <c r="L54" s="49">
        <f>+IF(OR(K54="BGA",K54="FP",K54="TH"),1,IF($K$4*B54&lt;100,5,0))</f>
        <v>5</v>
      </c>
      <c r="M54" s="48">
        <f>+IF(AND(K54="",$K$4*B54&gt;100),0.05,0)</f>
        <v>0</v>
      </c>
      <c r="N54" s="49">
        <f>+ROUNDUP($K$4*B54*M54+L54,0)</f>
        <v>5</v>
      </c>
      <c r="O54" s="42">
        <f>+IF(OR(LEFT(I54&amp;"",1)="C",LEFT(I54&amp;"",1)="R"),ROUNDUP($K$4*B54+N54,-1),$K$4*B54+N54)</f>
        <v>10</v>
      </c>
    </row>
    <row r="55" spans="1:15" s="2" customFormat="1" ht="13" x14ac:dyDescent="0.25">
      <c r="A55" s="13"/>
      <c r="B55" s="46">
        <v>1</v>
      </c>
      <c r="C55" s="46" t="s">
        <v>51</v>
      </c>
      <c r="D55" s="68" t="s">
        <v>99</v>
      </c>
      <c r="E55" s="47" t="s">
        <v>120</v>
      </c>
      <c r="F55" s="47" t="s">
        <v>169</v>
      </c>
      <c r="G55" s="47" t="s">
        <v>236</v>
      </c>
      <c r="H55" s="47" t="s">
        <v>236</v>
      </c>
      <c r="I55" s="47" t="s">
        <v>325</v>
      </c>
      <c r="J55" s="47" t="s">
        <v>369</v>
      </c>
      <c r="K55" s="47"/>
      <c r="L55" s="49">
        <f t="shared" ref="L55" si="88">+IF(OR(K55="BGA",K55="FP",K55="TH"),1,IF($K$4*B55&lt;100,5,0))</f>
        <v>5</v>
      </c>
      <c r="M55" s="48">
        <f t="shared" ref="M55" si="89">+IF(AND(K55="",$K$4*B55&gt;100),0.05,0)</f>
        <v>0</v>
      </c>
      <c r="N55" s="49">
        <f t="shared" ref="N55" si="90">+ROUNDUP($K$4*B55*M55+L55,0)</f>
        <v>5</v>
      </c>
      <c r="O55" s="42">
        <f t="shared" ref="O55" si="91">+IF(OR(LEFT(I55&amp;"",1)="C",LEFT(I55&amp;"",1)="R"),ROUNDUP($K$4*B55+N55,-1),$K$4*B55+N55)</f>
        <v>10</v>
      </c>
    </row>
    <row r="56" spans="1:15" s="2" customFormat="1" ht="13" x14ac:dyDescent="0.25">
      <c r="A56" s="13"/>
      <c r="B56" s="46">
        <v>2</v>
      </c>
      <c r="C56" s="46" t="s">
        <v>29</v>
      </c>
      <c r="D56" s="68" t="s">
        <v>100</v>
      </c>
      <c r="E56" s="47" t="s">
        <v>120</v>
      </c>
      <c r="F56" s="47" t="s">
        <v>170</v>
      </c>
      <c r="G56" s="47" t="s">
        <v>237</v>
      </c>
      <c r="H56" s="47" t="s">
        <v>237</v>
      </c>
      <c r="I56" s="47" t="s">
        <v>326</v>
      </c>
      <c r="J56" s="47" t="s">
        <v>367</v>
      </c>
      <c r="K56" s="47" t="s">
        <v>361</v>
      </c>
      <c r="L56" s="49">
        <f>+IF(OR(K56="BGA",K56="FP",K56="TH"),1,IF($K$4*B56&lt;100,5,0))</f>
        <v>5</v>
      </c>
      <c r="M56" s="48">
        <f>+IF(AND(K56="",$K$4*B56&gt;100),0.05,0)</f>
        <v>0</v>
      </c>
      <c r="N56" s="49">
        <f>+ROUNDUP($K$4*B56*M56+L56,0)</f>
        <v>5</v>
      </c>
      <c r="O56" s="42">
        <f>+IF(OR(LEFT(I56&amp;"",1)="C",LEFT(I56&amp;"",1)="R"),ROUNDUP($K$4*B56+N56,-1),$K$4*B56+N56)</f>
        <v>20</v>
      </c>
    </row>
    <row r="57" spans="1:15" s="2" customFormat="1" ht="13" x14ac:dyDescent="0.25">
      <c r="A57" s="13"/>
      <c r="B57" s="46">
        <v>4</v>
      </c>
      <c r="C57" s="46" t="s">
        <v>29</v>
      </c>
      <c r="D57" s="68" t="s">
        <v>101</v>
      </c>
      <c r="E57" s="47" t="s">
        <v>120</v>
      </c>
      <c r="F57" s="47" t="s">
        <v>171</v>
      </c>
      <c r="G57" s="47" t="s">
        <v>238</v>
      </c>
      <c r="H57" s="47" t="s">
        <v>272</v>
      </c>
      <c r="I57" s="47" t="s">
        <v>327</v>
      </c>
      <c r="J57" s="47" t="s">
        <v>367</v>
      </c>
      <c r="K57" s="47" t="s">
        <v>361</v>
      </c>
      <c r="L57" s="49">
        <f t="shared" ref="L57" si="92">+IF(OR(K57="BGA",K57="FP",K57="TH"),1,IF($K$4*B57&lt;100,5,0))</f>
        <v>5</v>
      </c>
      <c r="M57" s="48">
        <f t="shared" ref="M57" si="93">+IF(AND(K57="",$K$4*B57&gt;100),0.05,0)</f>
        <v>0</v>
      </c>
      <c r="N57" s="49">
        <f t="shared" ref="N57" si="94">+ROUNDUP($K$4*B57*M57+L57,0)</f>
        <v>5</v>
      </c>
      <c r="O57" s="42">
        <f t="shared" ref="O57" si="95">+IF(OR(LEFT(I57&amp;"",1)="C",LEFT(I57&amp;"",1)="R"),ROUNDUP($K$4*B57+N57,-1),$K$4*B57+N57)</f>
        <v>30</v>
      </c>
    </row>
    <row r="58" spans="1:15" s="2" customFormat="1" ht="13" x14ac:dyDescent="0.25">
      <c r="A58" s="13"/>
      <c r="B58" s="46">
        <v>9</v>
      </c>
      <c r="C58" s="46" t="s">
        <v>49</v>
      </c>
      <c r="D58" s="68" t="s">
        <v>102</v>
      </c>
      <c r="E58" s="47" t="s">
        <v>122</v>
      </c>
      <c r="F58" s="47" t="s">
        <v>172</v>
      </c>
      <c r="G58" s="47" t="s">
        <v>239</v>
      </c>
      <c r="H58" s="47" t="s">
        <v>273</v>
      </c>
      <c r="I58" s="47" t="s">
        <v>328</v>
      </c>
      <c r="J58" s="47" t="s">
        <v>367</v>
      </c>
      <c r="K58" s="47" t="s">
        <v>361</v>
      </c>
      <c r="L58" s="49">
        <f>+IF(OR(K58="BGA",K58="FP",K58="TH"),1,IF($K$4*B58&lt;100,5,0))</f>
        <v>5</v>
      </c>
      <c r="M58" s="48">
        <f>+IF(AND(K58="",$K$4*B58&gt;100),0.05,0)</f>
        <v>0</v>
      </c>
      <c r="N58" s="49">
        <f>+ROUNDUP($K$4*B58*M58+L58,0)</f>
        <v>5</v>
      </c>
      <c r="O58" s="42">
        <f>+IF(OR(LEFT(I58&amp;"",1)="C",LEFT(I58&amp;"",1)="R"),ROUNDUP($K$4*B58+N58,-1),$K$4*B58+N58)</f>
        <v>50</v>
      </c>
    </row>
    <row r="59" spans="1:15" s="2" customFormat="1" ht="90.5" x14ac:dyDescent="0.25">
      <c r="A59" s="13"/>
      <c r="B59" s="46">
        <v>22</v>
      </c>
      <c r="C59" s="46" t="s">
        <v>52</v>
      </c>
      <c r="D59" s="68" t="s">
        <v>103</v>
      </c>
      <c r="E59" s="47" t="s">
        <v>120</v>
      </c>
      <c r="F59" s="47" t="s">
        <v>173</v>
      </c>
      <c r="G59" s="47" t="s">
        <v>240</v>
      </c>
      <c r="H59" s="47" t="s">
        <v>271</v>
      </c>
      <c r="I59" s="47" t="s">
        <v>329</v>
      </c>
      <c r="J59" s="47" t="s">
        <v>367</v>
      </c>
      <c r="K59" s="47" t="s">
        <v>361</v>
      </c>
      <c r="L59" s="49">
        <f t="shared" ref="L59" si="96">+IF(OR(K59="BGA",K59="FP",K59="TH"),1,IF($K$4*B59&lt;100,5,0))</f>
        <v>5</v>
      </c>
      <c r="M59" s="48">
        <f t="shared" ref="M59" si="97">+IF(AND(K59="",$K$4*B59&gt;100),0.05,0)</f>
        <v>0</v>
      </c>
      <c r="N59" s="49">
        <f t="shared" ref="N59" si="98">+ROUNDUP($K$4*B59*M59+L59,0)</f>
        <v>5</v>
      </c>
      <c r="O59" s="42">
        <f t="shared" ref="O59" si="99">+IF(OR(LEFT(I59&amp;"",1)="C",LEFT(I59&amp;"",1)="R"),ROUNDUP($K$4*B59+N59,-1),$K$4*B59+N59)</f>
        <v>100</v>
      </c>
    </row>
    <row r="60" spans="1:15" s="2" customFormat="1" ht="13" x14ac:dyDescent="0.25">
      <c r="A60" s="13"/>
      <c r="B60" s="46">
        <v>2</v>
      </c>
      <c r="C60" s="46" t="s">
        <v>29</v>
      </c>
      <c r="D60" s="68" t="s">
        <v>104</v>
      </c>
      <c r="E60" s="47" t="s">
        <v>120</v>
      </c>
      <c r="F60" s="47" t="s">
        <v>174</v>
      </c>
      <c r="G60" s="47" t="s">
        <v>241</v>
      </c>
      <c r="H60" s="47" t="s">
        <v>241</v>
      </c>
      <c r="I60" s="47" t="s">
        <v>330</v>
      </c>
      <c r="J60" s="47" t="s">
        <v>367</v>
      </c>
      <c r="K60" s="47" t="s">
        <v>361</v>
      </c>
      <c r="L60" s="49">
        <f>+IF(OR(K60="BGA",K60="FP",K60="TH"),1,IF($K$4*B60&lt;100,5,0))</f>
        <v>5</v>
      </c>
      <c r="M60" s="48">
        <f>+IF(AND(K60="",$K$4*B60&gt;100),0.05,0)</f>
        <v>0</v>
      </c>
      <c r="N60" s="49">
        <f>+ROUNDUP($K$4*B60*M60+L60,0)</f>
        <v>5</v>
      </c>
      <c r="O60" s="42">
        <f>+IF(OR(LEFT(I60&amp;"",1)="C",LEFT(I60&amp;"",1)="R"),ROUNDUP($K$4*B60+N60,-1),$K$4*B60+N60)</f>
        <v>20</v>
      </c>
    </row>
    <row r="61" spans="1:15" s="2" customFormat="1" ht="20.5" x14ac:dyDescent="0.25">
      <c r="A61" s="13"/>
      <c r="B61" s="46">
        <v>8</v>
      </c>
      <c r="C61" s="46" t="s">
        <v>29</v>
      </c>
      <c r="D61" s="68" t="s">
        <v>94</v>
      </c>
      <c r="E61" s="47" t="s">
        <v>120</v>
      </c>
      <c r="F61" s="47" t="s">
        <v>164</v>
      </c>
      <c r="G61" s="47" t="s">
        <v>242</v>
      </c>
      <c r="H61" s="47" t="s">
        <v>242</v>
      </c>
      <c r="I61" s="47" t="s">
        <v>331</v>
      </c>
      <c r="J61" s="47" t="s">
        <v>367</v>
      </c>
      <c r="K61" s="47" t="s">
        <v>361</v>
      </c>
      <c r="L61" s="49">
        <f t="shared" ref="L61" si="100">+IF(OR(K61="BGA",K61="FP",K61="TH"),1,IF($K$4*B61&lt;100,5,0))</f>
        <v>5</v>
      </c>
      <c r="M61" s="48">
        <f t="shared" ref="M61" si="101">+IF(AND(K61="",$K$4*B61&gt;100),0.05,0)</f>
        <v>0</v>
      </c>
      <c r="N61" s="49">
        <f t="shared" ref="N61" si="102">+ROUNDUP($K$4*B61*M61+L61,0)</f>
        <v>5</v>
      </c>
      <c r="O61" s="42">
        <f t="shared" ref="O61" si="103">+IF(OR(LEFT(I61&amp;"",1)="C",LEFT(I61&amp;"",1)="R"),ROUNDUP($K$4*B61+N61,-1),$K$4*B61+N61)</f>
        <v>40</v>
      </c>
    </row>
    <row r="62" spans="1:15" s="2" customFormat="1" ht="13" x14ac:dyDescent="0.25">
      <c r="A62" s="13"/>
      <c r="B62" s="46">
        <v>2</v>
      </c>
      <c r="C62" s="46" t="s">
        <v>53</v>
      </c>
      <c r="D62" s="68" t="s">
        <v>105</v>
      </c>
      <c r="E62" s="47" t="s">
        <v>120</v>
      </c>
      <c r="F62" s="47" t="s">
        <v>175</v>
      </c>
      <c r="G62" s="47" t="s">
        <v>243</v>
      </c>
      <c r="H62" s="47" t="s">
        <v>243</v>
      </c>
      <c r="I62" s="47" t="s">
        <v>332</v>
      </c>
      <c r="J62" s="47" t="s">
        <v>370</v>
      </c>
      <c r="K62" s="47" t="s">
        <v>361</v>
      </c>
      <c r="L62" s="49">
        <f>+IF(OR(K62="BGA",K62="FP",K62="TH"),1,IF($K$4*B62&lt;100,5,0))</f>
        <v>5</v>
      </c>
      <c r="M62" s="48">
        <f>+IF(AND(K62="",$K$4*B62&gt;100),0.05,0)</f>
        <v>0</v>
      </c>
      <c r="N62" s="49">
        <f>+ROUNDUP($K$4*B62*M62+L62,0)</f>
        <v>5</v>
      </c>
      <c r="O62" s="42">
        <f>+IF(OR(LEFT(I62&amp;"",1)="C",LEFT(I62&amp;"",1)="R"),ROUNDUP($K$4*B62+N62,-1),$K$4*B62+N62)</f>
        <v>20</v>
      </c>
    </row>
    <row r="63" spans="1:15" s="2" customFormat="1" ht="13" x14ac:dyDescent="0.25">
      <c r="A63" s="13"/>
      <c r="B63" s="46">
        <v>4</v>
      </c>
      <c r="C63" s="46" t="s">
        <v>29</v>
      </c>
      <c r="D63" s="68" t="s">
        <v>106</v>
      </c>
      <c r="E63" s="47" t="s">
        <v>120</v>
      </c>
      <c r="F63" s="47" t="s">
        <v>176</v>
      </c>
      <c r="G63" s="47" t="s">
        <v>244</v>
      </c>
      <c r="H63" s="47" t="s">
        <v>244</v>
      </c>
      <c r="I63" s="47" t="s">
        <v>333</v>
      </c>
      <c r="J63" s="47" t="s">
        <v>367</v>
      </c>
      <c r="K63" s="47" t="s">
        <v>361</v>
      </c>
      <c r="L63" s="49">
        <f t="shared" ref="L63" si="104">+IF(OR(K63="BGA",K63="FP",K63="TH"),1,IF($K$4*B63&lt;100,5,0))</f>
        <v>5</v>
      </c>
      <c r="M63" s="48">
        <f t="shared" ref="M63" si="105">+IF(AND(K63="",$K$4*B63&gt;100),0.05,0)</f>
        <v>0</v>
      </c>
      <c r="N63" s="49">
        <f t="shared" ref="N63" si="106">+ROUNDUP($K$4*B63*M63+L63,0)</f>
        <v>5</v>
      </c>
      <c r="O63" s="42">
        <f t="shared" ref="O63" si="107">+IF(OR(LEFT(I63&amp;"",1)="C",LEFT(I63&amp;"",1)="R"),ROUNDUP($K$4*B63+N63,-1),$K$4*B63+N63)</f>
        <v>30</v>
      </c>
    </row>
    <row r="64" spans="1:15" s="2" customFormat="1" ht="13" x14ac:dyDescent="0.25">
      <c r="A64" s="13"/>
      <c r="B64" s="46">
        <v>4</v>
      </c>
      <c r="C64" s="46" t="s">
        <v>29</v>
      </c>
      <c r="D64" s="68" t="s">
        <v>107</v>
      </c>
      <c r="E64" s="47" t="s">
        <v>120</v>
      </c>
      <c r="F64" s="47" t="s">
        <v>177</v>
      </c>
      <c r="G64" s="47" t="s">
        <v>245</v>
      </c>
      <c r="H64" s="47" t="s">
        <v>245</v>
      </c>
      <c r="I64" s="47" t="s">
        <v>334</v>
      </c>
      <c r="J64" s="47" t="s">
        <v>367</v>
      </c>
      <c r="K64" s="47" t="s">
        <v>361</v>
      </c>
      <c r="L64" s="49">
        <f>+IF(OR(K64="BGA",K64="FP",K64="TH"),1,IF($K$4*B64&lt;100,5,0))</f>
        <v>5</v>
      </c>
      <c r="M64" s="48">
        <f>+IF(AND(K64="",$K$4*B64&gt;100),0.05,0)</f>
        <v>0</v>
      </c>
      <c r="N64" s="49">
        <f>+ROUNDUP($K$4*B64*M64+L64,0)</f>
        <v>5</v>
      </c>
      <c r="O64" s="42">
        <f>+IF(OR(LEFT(I64&amp;"",1)="C",LEFT(I64&amp;"",1)="R"),ROUNDUP($K$4*B64+N64,-1),$K$4*B64+N64)</f>
        <v>30</v>
      </c>
    </row>
    <row r="65" spans="1:15" s="2" customFormat="1" ht="13" x14ac:dyDescent="0.25">
      <c r="A65" s="13"/>
      <c r="B65" s="46">
        <v>1</v>
      </c>
      <c r="C65" s="46" t="s">
        <v>29</v>
      </c>
      <c r="D65" s="68" t="s">
        <v>108</v>
      </c>
      <c r="E65" s="47" t="s">
        <v>120</v>
      </c>
      <c r="F65" s="47" t="s">
        <v>178</v>
      </c>
      <c r="G65" s="47" t="s">
        <v>246</v>
      </c>
      <c r="H65" s="47" t="s">
        <v>246</v>
      </c>
      <c r="I65" s="47" t="s">
        <v>335</v>
      </c>
      <c r="J65" s="47" t="s">
        <v>367</v>
      </c>
      <c r="K65" s="47"/>
      <c r="L65" s="49">
        <f t="shared" ref="L65" si="108">+IF(OR(K65="BGA",K65="FP",K65="TH"),1,IF($K$4*B65&lt;100,5,0))</f>
        <v>5</v>
      </c>
      <c r="M65" s="48">
        <f t="shared" ref="M65" si="109">+IF(AND(K65="",$K$4*B65&gt;100),0.05,0)</f>
        <v>0</v>
      </c>
      <c r="N65" s="49">
        <f t="shared" ref="N65" si="110">+ROUNDUP($K$4*B65*M65+L65,0)</f>
        <v>5</v>
      </c>
      <c r="O65" s="42">
        <f t="shared" ref="O65" si="111">+IF(OR(LEFT(I65&amp;"",1)="C",LEFT(I65&amp;"",1)="R"),ROUNDUP($K$4*B65+N65,-1),$K$4*B65+N65)</f>
        <v>10</v>
      </c>
    </row>
    <row r="66" spans="1:15" s="2" customFormat="1" ht="13" x14ac:dyDescent="0.25">
      <c r="A66" s="13"/>
      <c r="B66" s="46">
        <v>1</v>
      </c>
      <c r="C66" s="46" t="s">
        <v>29</v>
      </c>
      <c r="D66" s="68" t="s">
        <v>109</v>
      </c>
      <c r="E66" s="47" t="s">
        <v>120</v>
      </c>
      <c r="F66" s="47" t="s">
        <v>179</v>
      </c>
      <c r="G66" s="47" t="s">
        <v>247</v>
      </c>
      <c r="H66" s="47" t="s">
        <v>247</v>
      </c>
      <c r="I66" s="47" t="s">
        <v>336</v>
      </c>
      <c r="J66" s="47" t="s">
        <v>367</v>
      </c>
      <c r="K66" s="47"/>
      <c r="L66" s="49">
        <f>+IF(OR(K66="BGA",K66="FP",K66="TH"),1,IF($K$4*B66&lt;100,5,0))</f>
        <v>5</v>
      </c>
      <c r="M66" s="48">
        <f>+IF(AND(K66="",$K$4*B66&gt;100),0.05,0)</f>
        <v>0</v>
      </c>
      <c r="N66" s="49">
        <f>+ROUNDUP($K$4*B66*M66+L66,0)</f>
        <v>5</v>
      </c>
      <c r="O66" s="42">
        <f>+IF(OR(LEFT(I66&amp;"",1)="C",LEFT(I66&amp;"",1)="R"),ROUNDUP($K$4*B66+N66,-1),$K$4*B66+N66)</f>
        <v>10</v>
      </c>
    </row>
    <row r="67" spans="1:15" s="2" customFormat="1" ht="13" x14ac:dyDescent="0.25">
      <c r="A67" s="13"/>
      <c r="B67" s="46">
        <v>1</v>
      </c>
      <c r="C67" s="46" t="s">
        <v>29</v>
      </c>
      <c r="D67" s="68" t="s">
        <v>110</v>
      </c>
      <c r="E67" s="47" t="s">
        <v>120</v>
      </c>
      <c r="F67" s="47" t="s">
        <v>180</v>
      </c>
      <c r="G67" s="47" t="s">
        <v>248</v>
      </c>
      <c r="H67" s="47" t="s">
        <v>248</v>
      </c>
      <c r="I67" s="47" t="s">
        <v>337</v>
      </c>
      <c r="J67" s="47" t="s">
        <v>367</v>
      </c>
      <c r="K67" s="47"/>
      <c r="L67" s="49">
        <f t="shared" ref="L67" si="112">+IF(OR(K67="BGA",K67="FP",K67="TH"),1,IF($K$4*B67&lt;100,5,0))</f>
        <v>5</v>
      </c>
      <c r="M67" s="48">
        <f t="shared" ref="M67" si="113">+IF(AND(K67="",$K$4*B67&gt;100),0.05,0)</f>
        <v>0</v>
      </c>
      <c r="N67" s="49">
        <f t="shared" ref="N67" si="114">+ROUNDUP($K$4*B67*M67+L67,0)</f>
        <v>5</v>
      </c>
      <c r="O67" s="42">
        <f t="shared" ref="O67" si="115">+IF(OR(LEFT(I67&amp;"",1)="C",LEFT(I67&amp;"",1)="R"),ROUNDUP($K$4*B67+N67,-1),$K$4*B67+N67)</f>
        <v>10</v>
      </c>
    </row>
    <row r="68" spans="1:15" s="2" customFormat="1" ht="13" x14ac:dyDescent="0.25">
      <c r="A68" s="13"/>
      <c r="B68" s="46">
        <v>1</v>
      </c>
      <c r="C68" s="46" t="s">
        <v>29</v>
      </c>
      <c r="D68" s="68" t="s">
        <v>111</v>
      </c>
      <c r="E68" s="47" t="s">
        <v>120</v>
      </c>
      <c r="F68" s="47" t="s">
        <v>181</v>
      </c>
      <c r="G68" s="47" t="s">
        <v>249</v>
      </c>
      <c r="H68" s="47" t="s">
        <v>249</v>
      </c>
      <c r="I68" s="47" t="s">
        <v>338</v>
      </c>
      <c r="J68" s="47" t="s">
        <v>367</v>
      </c>
      <c r="K68" s="47"/>
      <c r="L68" s="49">
        <f>+IF(OR(K68="BGA",K68="FP",K68="TH"),1,IF($K$4*B68&lt;100,5,0))</f>
        <v>5</v>
      </c>
      <c r="M68" s="48">
        <f>+IF(AND(K68="",$K$4*B68&gt;100),0.05,0)</f>
        <v>0</v>
      </c>
      <c r="N68" s="49">
        <f>+ROUNDUP($K$4*B68*M68+L68,0)</f>
        <v>5</v>
      </c>
      <c r="O68" s="42">
        <f>+IF(OR(LEFT(I68&amp;"",1)="C",LEFT(I68&amp;"",1)="R"),ROUNDUP($K$4*B68+N68,-1),$K$4*B68+N68)</f>
        <v>10</v>
      </c>
    </row>
    <row r="69" spans="1:15" s="2" customFormat="1" ht="80.5" x14ac:dyDescent="0.25">
      <c r="A69" s="13"/>
      <c r="B69" s="46">
        <v>40</v>
      </c>
      <c r="C69" s="46" t="s">
        <v>43</v>
      </c>
      <c r="D69" s="68">
        <v>5016</v>
      </c>
      <c r="E69" s="47" t="s">
        <v>120</v>
      </c>
      <c r="F69" s="47" t="s">
        <v>182</v>
      </c>
      <c r="G69" s="47" t="s">
        <v>250</v>
      </c>
      <c r="H69" s="47" t="s">
        <v>274</v>
      </c>
      <c r="I69" s="47" t="s">
        <v>339</v>
      </c>
      <c r="J69" s="47" t="s">
        <v>371</v>
      </c>
      <c r="K69" s="47" t="s">
        <v>361</v>
      </c>
      <c r="L69" s="49">
        <f t="shared" ref="L69" si="116">+IF(OR(K69="BGA",K69="FP",K69="TH"),1,IF($K$4*B69&lt;100,5,0))</f>
        <v>0</v>
      </c>
      <c r="M69" s="48">
        <f t="shared" ref="M69" si="117">+IF(AND(K69="",$K$4*B69&gt;100),0.05,0)</f>
        <v>0.05</v>
      </c>
      <c r="N69" s="49">
        <f t="shared" ref="N69" si="118">+ROUNDUP($K$4*B69*M69+L69,0)</f>
        <v>8</v>
      </c>
      <c r="O69" s="42">
        <f t="shared" ref="O69" si="119">+IF(OR(LEFT(I69&amp;"",1)="C",LEFT(I69&amp;"",1)="R"),ROUNDUP($K$4*B69+N69,-1),$K$4*B69+N69)</f>
        <v>168</v>
      </c>
    </row>
    <row r="70" spans="1:15" s="2" customFormat="1" ht="20.5" x14ac:dyDescent="0.25">
      <c r="A70" s="13"/>
      <c r="B70" s="46">
        <v>3</v>
      </c>
      <c r="C70" s="46" t="s">
        <v>54</v>
      </c>
      <c r="D70" s="68" t="s">
        <v>112</v>
      </c>
      <c r="E70" s="47" t="s">
        <v>120</v>
      </c>
      <c r="F70" s="47" t="s">
        <v>183</v>
      </c>
      <c r="G70" s="47" t="s">
        <v>251</v>
      </c>
      <c r="H70" s="47" t="s">
        <v>275</v>
      </c>
      <c r="I70" s="47" t="s">
        <v>340</v>
      </c>
      <c r="J70" s="47" t="s">
        <v>372</v>
      </c>
      <c r="K70" s="47" t="s">
        <v>361</v>
      </c>
      <c r="L70" s="49">
        <f>+IF(OR(K70="BGA",K70="FP",K70="TH"),1,IF($K$4*B70&lt;100,5,0))</f>
        <v>5</v>
      </c>
      <c r="M70" s="48">
        <f>+IF(AND(K70="",$K$4*B70&gt;100),0.05,0)</f>
        <v>0</v>
      </c>
      <c r="N70" s="49">
        <f>+ROUNDUP($K$4*B70*M70+L70,0)</f>
        <v>5</v>
      </c>
      <c r="O70" s="42">
        <f>+IF(OR(LEFT(I70&amp;"",1)="C",LEFT(I70&amp;"",1)="R"),ROUNDUP($K$4*B70+N70,-1),$K$4*B70+N70)</f>
        <v>17</v>
      </c>
    </row>
    <row r="71" spans="1:15" s="2" customFormat="1" ht="20.5" x14ac:dyDescent="0.25">
      <c r="A71" s="13"/>
      <c r="B71" s="46">
        <v>1</v>
      </c>
      <c r="C71" s="46" t="s">
        <v>33</v>
      </c>
      <c r="D71" s="68" t="s">
        <v>113</v>
      </c>
      <c r="E71" s="47" t="s">
        <v>122</v>
      </c>
      <c r="F71" s="47" t="s">
        <v>184</v>
      </c>
      <c r="G71" s="47" t="s">
        <v>252</v>
      </c>
      <c r="H71" s="47" t="s">
        <v>252</v>
      </c>
      <c r="I71" s="47" t="s">
        <v>341</v>
      </c>
      <c r="J71" s="47" t="s">
        <v>373</v>
      </c>
      <c r="K71" s="47"/>
      <c r="L71" s="49">
        <f t="shared" ref="L71" si="120">+IF(OR(K71="BGA",K71="FP",K71="TH"),1,IF($K$4*B71&lt;100,5,0))</f>
        <v>5</v>
      </c>
      <c r="M71" s="48">
        <f t="shared" ref="M71" si="121">+IF(AND(K71="",$K$4*B71&gt;100),0.05,0)</f>
        <v>0</v>
      </c>
      <c r="N71" s="49">
        <f t="shared" ref="N71" si="122">+ROUNDUP($K$4*B71*M71+L71,0)</f>
        <v>5</v>
      </c>
      <c r="O71" s="42">
        <f t="shared" ref="O71" si="123">+IF(OR(LEFT(I71&amp;"",1)="C",LEFT(I71&amp;"",1)="R"),ROUNDUP($K$4*B71+N71,-1),$K$4*B71+N71)</f>
        <v>9</v>
      </c>
    </row>
    <row r="72" spans="1:15" s="2" customFormat="1" ht="20.5" x14ac:dyDescent="0.25">
      <c r="A72" s="13"/>
      <c r="B72" s="46">
        <v>9</v>
      </c>
      <c r="C72" s="46" t="s">
        <v>55</v>
      </c>
      <c r="D72" s="68" t="s">
        <v>114</v>
      </c>
      <c r="E72" s="47" t="s">
        <v>120</v>
      </c>
      <c r="F72" s="47" t="s">
        <v>185</v>
      </c>
      <c r="G72" s="47" t="s">
        <v>253</v>
      </c>
      <c r="H72" s="47" t="s">
        <v>276</v>
      </c>
      <c r="I72" s="47" t="s">
        <v>342</v>
      </c>
      <c r="J72" s="47" t="s">
        <v>374</v>
      </c>
      <c r="K72" s="47" t="s">
        <v>361</v>
      </c>
      <c r="L72" s="49">
        <f>+IF(OR(K72="BGA",K72="FP",K72="TH"),1,IF($K$4*B72&lt;100,5,0))</f>
        <v>5</v>
      </c>
      <c r="M72" s="48">
        <f>+IF(AND(K72="",$K$4*B72&gt;100),0.05,0)</f>
        <v>0</v>
      </c>
      <c r="N72" s="49">
        <f>+ROUNDUP($K$4*B72*M72+L72,0)</f>
        <v>5</v>
      </c>
      <c r="O72" s="42">
        <f>+IF(OR(LEFT(I72&amp;"",1)="C",LEFT(I72&amp;"",1)="R"),ROUNDUP($K$4*B72+N72,-1),$K$4*B72+N72)</f>
        <v>41</v>
      </c>
    </row>
    <row r="73" spans="1:15" s="2" customFormat="1" ht="20.5" x14ac:dyDescent="0.25">
      <c r="A73" s="13"/>
      <c r="B73" s="46">
        <v>5</v>
      </c>
      <c r="C73" s="46" t="s">
        <v>55</v>
      </c>
      <c r="D73" s="68" t="s">
        <v>115</v>
      </c>
      <c r="E73" s="47" t="s">
        <v>120</v>
      </c>
      <c r="F73" s="47" t="s">
        <v>186</v>
      </c>
      <c r="G73" s="47" t="s">
        <v>254</v>
      </c>
      <c r="H73" s="47" t="s">
        <v>277</v>
      </c>
      <c r="I73" s="47" t="s">
        <v>343</v>
      </c>
      <c r="J73" s="47" t="s">
        <v>375</v>
      </c>
      <c r="K73" s="47" t="s">
        <v>361</v>
      </c>
      <c r="L73" s="49">
        <f t="shared" ref="L73" si="124">+IF(OR(K73="BGA",K73="FP",K73="TH"),1,IF($K$4*B73&lt;100,5,0))</f>
        <v>5</v>
      </c>
      <c r="M73" s="48">
        <f t="shared" ref="M73" si="125">+IF(AND(K73="",$K$4*B73&gt;100),0.05,0)</f>
        <v>0</v>
      </c>
      <c r="N73" s="49">
        <f t="shared" ref="N73" si="126">+ROUNDUP($K$4*B73*M73+L73,0)</f>
        <v>5</v>
      </c>
      <c r="O73" s="42">
        <f t="shared" ref="O73" si="127">+IF(OR(LEFT(I73&amp;"",1)="C",LEFT(I73&amp;"",1)="R"),ROUNDUP($K$4*B73+N73,-1),$K$4*B73+N73)</f>
        <v>25</v>
      </c>
    </row>
    <row r="74" spans="1:15" s="2" customFormat="1" ht="13" x14ac:dyDescent="0.25">
      <c r="A74" s="13"/>
      <c r="B74" s="46">
        <v>2</v>
      </c>
      <c r="C74" s="46" t="s">
        <v>55</v>
      </c>
      <c r="D74" s="68" t="s">
        <v>116</v>
      </c>
      <c r="E74" s="47" t="s">
        <v>120</v>
      </c>
      <c r="F74" s="47" t="s">
        <v>187</v>
      </c>
      <c r="G74" s="47" t="s">
        <v>255</v>
      </c>
      <c r="H74" s="47" t="s">
        <v>278</v>
      </c>
      <c r="I74" s="47" t="s">
        <v>344</v>
      </c>
      <c r="J74" s="47" t="s">
        <v>375</v>
      </c>
      <c r="K74" s="47" t="s">
        <v>361</v>
      </c>
      <c r="L74" s="49">
        <f>+IF(OR(K74="BGA",K74="FP",K74="TH"),1,IF($K$4*B74&lt;100,5,0))</f>
        <v>5</v>
      </c>
      <c r="M74" s="48">
        <f>+IF(AND(K74="",$K$4*B74&gt;100),0.05,0)</f>
        <v>0</v>
      </c>
      <c r="N74" s="49">
        <f>+ROUNDUP($K$4*B74*M74+L74,0)</f>
        <v>5</v>
      </c>
      <c r="O74" s="42">
        <f>+IF(OR(LEFT(I74&amp;"",1)="C",LEFT(I74&amp;"",1)="R"),ROUNDUP($K$4*B74+N74,-1),$K$4*B74+N74)</f>
        <v>13</v>
      </c>
    </row>
    <row r="75" spans="1:15" s="2" customFormat="1" ht="20.5" x14ac:dyDescent="0.25">
      <c r="A75" s="13"/>
      <c r="B75" s="46">
        <v>1</v>
      </c>
      <c r="C75" s="46" t="s">
        <v>56</v>
      </c>
      <c r="D75" s="68" t="s">
        <v>117</v>
      </c>
      <c r="E75" s="47" t="s">
        <v>120</v>
      </c>
      <c r="F75" s="47" t="s">
        <v>188</v>
      </c>
      <c r="G75" s="47" t="s">
        <v>256</v>
      </c>
      <c r="H75" s="47" t="s">
        <v>256</v>
      </c>
      <c r="I75" s="47" t="s">
        <v>345</v>
      </c>
      <c r="J75" s="47" t="s">
        <v>376</v>
      </c>
      <c r="K75" s="47" t="s">
        <v>378</v>
      </c>
      <c r="L75" s="49">
        <f t="shared" ref="L75" si="128">+IF(OR(K75="BGA",K75="FP",K75="TH"),1,IF($K$4*B75&lt;100,5,0))</f>
        <v>1</v>
      </c>
      <c r="M75" s="48">
        <f t="shared" ref="M75" si="129">+IF(AND(K75="",$K$4*B75&gt;100),0.05,0)</f>
        <v>0</v>
      </c>
      <c r="N75" s="49">
        <f t="shared" ref="N75" si="130">+ROUNDUP($K$4*B75*M75+L75,0)</f>
        <v>1</v>
      </c>
      <c r="O75" s="42">
        <f t="shared" ref="O75" si="131">+IF(OR(LEFT(I75&amp;"",1)="C",LEFT(I75&amp;"",1)="R"),ROUNDUP($K$4*B75+N75,-1),$K$4*B75+N75)</f>
        <v>5</v>
      </c>
    </row>
    <row r="76" spans="1:15" ht="20.5" x14ac:dyDescent="0.25">
      <c r="A76" s="13"/>
      <c r="B76" s="46">
        <v>1</v>
      </c>
      <c r="C76" s="46" t="s">
        <v>56</v>
      </c>
      <c r="D76" s="68" t="s">
        <v>118</v>
      </c>
      <c r="E76" s="47" t="s">
        <v>120</v>
      </c>
      <c r="F76" s="47" t="s">
        <v>189</v>
      </c>
      <c r="G76" s="47" t="s">
        <v>257</v>
      </c>
      <c r="H76" s="47" t="s">
        <v>257</v>
      </c>
      <c r="I76" s="47" t="s">
        <v>346</v>
      </c>
      <c r="J76" s="47" t="s">
        <v>376</v>
      </c>
      <c r="K76" s="47" t="s">
        <v>378</v>
      </c>
      <c r="L76" s="49">
        <f>+IF(OR(K76="BGA",K76="FP",K76="TH"),1,IF($K$4*B76&lt;100,5,0))</f>
        <v>1</v>
      </c>
      <c r="M76" s="48">
        <f>+IF(AND(K76="",$K$4*B76&gt;100),0.05,0)</f>
        <v>0</v>
      </c>
      <c r="N76" s="49">
        <f>+ROUNDUP($K$4*B76*M76+L76,0)</f>
        <v>1</v>
      </c>
      <c r="O76" s="42">
        <f>+IF(OR(LEFT(I76&amp;"",1)="C",LEFT(I76&amp;"",1)="R"),ROUNDUP($K$4*B76+N76,-1),$K$4*B76+N76)</f>
        <v>5</v>
      </c>
    </row>
    <row r="77" spans="1:15" x14ac:dyDescent="0.25">
      <c r="A77" s="14"/>
      <c r="B77" s="43">
        <f>SUM(B10:B76)</f>
        <v>329</v>
      </c>
      <c r="C77" s="50"/>
      <c r="D77" s="69"/>
      <c r="E77" s="44" t="s">
        <v>9</v>
      </c>
      <c r="F77" s="44"/>
      <c r="G77" s="44"/>
      <c r="H77" s="44"/>
      <c r="I77" s="45"/>
      <c r="J77" s="45"/>
      <c r="K77" s="44"/>
      <c r="L77" s="45"/>
      <c r="M77" s="45"/>
      <c r="N77" s="45"/>
      <c r="O77" s="45"/>
    </row>
    <row r="78" spans="1:15" x14ac:dyDescent="0.25">
      <c r="B78" s="1"/>
      <c r="C78" s="1"/>
      <c r="E78" s="1"/>
    </row>
    <row r="79" spans="1:15" x14ac:dyDescent="0.25">
      <c r="B79" s="1"/>
      <c r="C79" s="1"/>
      <c r="E79" s="1"/>
    </row>
    <row r="80" spans="1:15" x14ac:dyDescent="0.25">
      <c r="B80" s="1"/>
      <c r="C80" s="1"/>
      <c r="E80" s="1"/>
    </row>
    <row r="81" spans="2:9" ht="17.5" x14ac:dyDescent="0.25">
      <c r="B81" s="1"/>
      <c r="C81" s="1"/>
      <c r="E81" s="61" t="s">
        <v>8</v>
      </c>
      <c r="F81" s="62"/>
      <c r="G81" s="63"/>
      <c r="H81" s="20"/>
      <c r="I81" s="21"/>
    </row>
    <row r="82" spans="2:9" x14ac:dyDescent="0.25">
      <c r="E82" s="33" t="s">
        <v>3</v>
      </c>
      <c r="F82" s="34"/>
      <c r="G82" s="35">
        <f>COUNT(B10:B76)</f>
        <v>67</v>
      </c>
    </row>
    <row r="83" spans="2:9" x14ac:dyDescent="0.25">
      <c r="E83" s="16" t="s">
        <v>4</v>
      </c>
      <c r="F83" s="30"/>
      <c r="G83" s="28">
        <f>SUMIF($K$10:$K$76, "", $B$10:$B$76)</f>
        <v>246</v>
      </c>
    </row>
    <row r="84" spans="2:9" x14ac:dyDescent="0.25">
      <c r="E84" s="33" t="s">
        <v>5</v>
      </c>
      <c r="F84" s="34"/>
      <c r="G84" s="36">
        <f>SUMIF($K$10:$K$76, "TH", $B$10:$B$76)</f>
        <v>25</v>
      </c>
    </row>
    <row r="85" spans="2:9" x14ac:dyDescent="0.25">
      <c r="E85" s="16" t="s">
        <v>6</v>
      </c>
      <c r="F85" s="30"/>
      <c r="G85" s="28">
        <f>SUMIF($K$10:$K$76, "FP", $B$10:$B$76)</f>
        <v>0</v>
      </c>
    </row>
    <row r="86" spans="2:9" x14ac:dyDescent="0.25">
      <c r="E86" s="33" t="s">
        <v>7</v>
      </c>
      <c r="F86" s="34"/>
      <c r="G86" s="36">
        <f>SUMIF($K$10:$K$76, "BGA", $B$10:$B$76)</f>
        <v>0</v>
      </c>
    </row>
    <row r="87" spans="2:9" x14ac:dyDescent="0.25">
      <c r="E87" s="27" t="s">
        <v>16</v>
      </c>
      <c r="F87" s="31"/>
      <c r="G87" s="29">
        <f>SUMIF($K$10:$K$76, "M", $B$10:$B$76)</f>
        <v>58</v>
      </c>
    </row>
  </sheetData>
  <mergeCells count="3">
    <mergeCell ref="I4:J4"/>
    <mergeCell ref="G8:H8"/>
    <mergeCell ref="E81:G81"/>
  </mergeCells>
  <phoneticPr fontId="0" type="noConversion"/>
  <conditionalFormatting sqref="B10:N76">
    <cfRule type="expression" dxfId="4" priority="1" stopIfTrue="1">
      <formula>MOD(ROW(),2)=1</formula>
    </cfRule>
    <cfRule type="expression" dxfId="3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2025-07-09T21:31:00Z</dcterms:modified>
</cp:coreProperties>
</file>