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oyne\Box Sync\FC supports\"/>
    </mc:Choice>
  </mc:AlternateContent>
  <bookViews>
    <workbookView xWindow="0" yWindow="0" windowWidth="19368" windowHeight="9060" tabRatio="668"/>
  </bookViews>
  <sheets>
    <sheet name="FC expansion requirements" sheetId="9" r:id="rId1"/>
    <sheet name="A+ Bellows" sheetId="8" r:id="rId2"/>
    <sheet name="Guide Spacing" sheetId="10" r:id="rId3"/>
    <sheet name="EJMA unreinforced circular" sheetId="1" r:id="rId4"/>
    <sheet name="Eb vs T" sheetId="6" r:id="rId5"/>
    <sheet name="Cp, Figure C24" sheetId="2" r:id="rId6"/>
    <sheet name="Cf, Figure C25" sheetId="3" r:id="rId7"/>
    <sheet name="Cd, Figure C26" sheetId="4" r:id="rId8"/>
    <sheet name="Nc, Figure C28" sheetId="5" r:id="rId9"/>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9" i="9" l="1"/>
  <c r="J82" i="1" l="1"/>
  <c r="B82" i="1"/>
  <c r="D18" i="10" l="1"/>
  <c r="B55" i="9"/>
  <c r="B39" i="1"/>
  <c r="B41" i="1"/>
  <c r="B48" i="9"/>
  <c r="B42" i="9"/>
  <c r="B41" i="9"/>
  <c r="N57" i="9" l="1"/>
  <c r="O57" i="9" s="1"/>
  <c r="O61" i="9" s="1"/>
  <c r="O65" i="9" s="1"/>
  <c r="O50" i="8"/>
  <c r="O49" i="8"/>
  <c r="O48" i="8"/>
  <c r="B47" i="9"/>
  <c r="N58" i="9" l="1"/>
  <c r="N59" i="9" s="1"/>
  <c r="N60" i="9" s="1"/>
  <c r="N61" i="9" s="1"/>
  <c r="N62" i="9" s="1"/>
  <c r="N63" i="9" s="1"/>
  <c r="N64" i="9" s="1"/>
  <c r="N65" i="9" s="1"/>
  <c r="A10" i="10"/>
  <c r="A12" i="10" s="1"/>
  <c r="A6" i="10"/>
  <c r="A7" i="10" s="1"/>
  <c r="A4" i="10"/>
  <c r="A5" i="10" s="1"/>
  <c r="B46" i="9" l="1"/>
  <c r="B45" i="9"/>
  <c r="B49" i="9" s="1"/>
  <c r="B54" i="9" s="1"/>
  <c r="B40" i="1" s="1"/>
  <c r="B36" i="9" l="1"/>
  <c r="B35" i="9"/>
  <c r="B38" i="9" s="1"/>
  <c r="B97" i="1" l="1"/>
  <c r="B9" i="1"/>
  <c r="B10" i="1" s="1"/>
  <c r="J6" i="1"/>
  <c r="F8" i="1"/>
  <c r="F9" i="1" l="1"/>
  <c r="B4" i="9"/>
  <c r="B7" i="9" s="1"/>
  <c r="B21" i="9" l="1"/>
  <c r="B52" i="9" s="1"/>
  <c r="B25" i="9"/>
  <c r="B51" i="9" s="1"/>
  <c r="B16" i="9"/>
  <c r="B53" i="9" s="1"/>
  <c r="B38" i="1" s="1"/>
  <c r="F38" i="1" s="1"/>
  <c r="B9" i="8"/>
  <c r="B86" i="1" l="1"/>
  <c r="B80" i="1" l="1"/>
  <c r="B81" i="1" l="1"/>
  <c r="B84" i="1" s="1"/>
  <c r="B87" i="1"/>
  <c r="D87" i="1" l="1"/>
  <c r="A14" i="6"/>
  <c r="A15" i="6" s="1"/>
  <c r="A16" i="6" s="1"/>
  <c r="A17" i="6" s="1"/>
  <c r="F5" i="1" s="1"/>
  <c r="C11" i="6"/>
  <c r="C10" i="6"/>
  <c r="C9" i="6"/>
  <c r="C8" i="6"/>
  <c r="C7" i="6"/>
  <c r="C6" i="6"/>
  <c r="B16" i="1"/>
  <c r="F39" i="1"/>
  <c r="A16" i="10" s="1"/>
  <c r="J8" i="1"/>
  <c r="B33" i="1"/>
  <c r="B22" i="1"/>
  <c r="F40" i="1" l="1"/>
  <c r="B98" i="1" s="1"/>
  <c r="A14" i="10"/>
  <c r="F41" i="1"/>
  <c r="B19" i="1"/>
  <c r="B60" i="1" s="1"/>
  <c r="B68" i="1" s="1"/>
  <c r="B50" i="1"/>
  <c r="B64" i="1" s="1"/>
  <c r="B44" i="1" l="1"/>
  <c r="B43" i="1"/>
  <c r="B73" i="1" s="1"/>
  <c r="B54" i="1"/>
  <c r="B65" i="1" s="1"/>
  <c r="B23" i="1"/>
  <c r="B107" i="1"/>
  <c r="B57" i="1"/>
  <c r="B67" i="1" s="1"/>
  <c r="B104" i="1"/>
  <c r="B92" i="1"/>
  <c r="B94" i="1" l="1"/>
  <c r="A15" i="10"/>
  <c r="B93" i="1"/>
  <c r="J93" i="1" s="1"/>
  <c r="B100" i="1"/>
  <c r="B99" i="1"/>
  <c r="B101" i="1" s="1"/>
  <c r="J101" i="1" s="1"/>
  <c r="B76" i="1"/>
  <c r="B115" i="1" s="1"/>
  <c r="A20" i="10" l="1"/>
  <c r="A17" i="10"/>
  <c r="A18" i="10" s="1"/>
  <c r="B120" i="1"/>
</calcChain>
</file>

<file path=xl/sharedStrings.xml><?xml version="1.0" encoding="utf-8"?>
<sst xmlns="http://schemas.openxmlformats.org/spreadsheetml/2006/main" count="439" uniqueCount="308">
  <si>
    <t>EXTENSION</t>
  </si>
  <si>
    <t>IN</t>
  </si>
  <si>
    <t>COMPRESSION</t>
  </si>
  <si>
    <t>LATERAL</t>
  </si>
  <si>
    <t>exe</t>
  </si>
  <si>
    <t>exc</t>
  </si>
  <si>
    <t>ey</t>
  </si>
  <si>
    <r>
      <t>e</t>
    </r>
    <r>
      <rPr>
        <sz val="11"/>
        <color theme="1"/>
        <rFont val="Calibri"/>
        <family val="2"/>
      </rPr>
      <t>θ</t>
    </r>
  </si>
  <si>
    <t>TUBE LENGTH</t>
  </si>
  <si>
    <t>NO. OF CONS</t>
  </si>
  <si>
    <t>DESIGN MOVEMENTS</t>
  </si>
  <si>
    <t>PRESSURE STRESSES</t>
  </si>
  <si>
    <t>S1 = P (Db + nt)^2 Lt Eb k / {2 (n t Eb Lt (Db + n t) + tc k Ec Lc Dc)}</t>
  </si>
  <si>
    <t>S1, Bellows Tangent Circumferential Membrane Stress Due to Pressure:</t>
  </si>
  <si>
    <t>psi</t>
  </si>
  <si>
    <t>Standards of the Expansion Joint Manufacturers Association (EJMA), 6th ed.</t>
  </si>
  <si>
    <t>DESIGN PARAMETERS</t>
  </si>
  <si>
    <t>TEMPERATURE</t>
  </si>
  <si>
    <t>F</t>
  </si>
  <si>
    <t>PRESSURE</t>
  </si>
  <si>
    <t>psig</t>
  </si>
  <si>
    <t>INSIDE DIA.</t>
  </si>
  <si>
    <t>P</t>
  </si>
  <si>
    <t>T</t>
  </si>
  <si>
    <t>Db</t>
  </si>
  <si>
    <t>NO. OF PLIES</t>
  </si>
  <si>
    <t>TANGENT LENGTH</t>
  </si>
  <si>
    <t>Lt</t>
  </si>
  <si>
    <t>N</t>
  </si>
  <si>
    <t>n</t>
  </si>
  <si>
    <t>BELLOWS MATERIAL</t>
  </si>
  <si>
    <t>BELLOWS MODULUS</t>
  </si>
  <si>
    <t>BELLOWS THK.</t>
  </si>
  <si>
    <t>OUTSIDE DIA.</t>
  </si>
  <si>
    <t>PITCH</t>
  </si>
  <si>
    <t>IN/CONS.</t>
  </si>
  <si>
    <t>q</t>
  </si>
  <si>
    <t>A240-304</t>
  </si>
  <si>
    <t>BAND MATERIAL</t>
  </si>
  <si>
    <t>BAND MODULUS</t>
  </si>
  <si>
    <t>CON. HGT</t>
  </si>
  <si>
    <t>BAND THK.</t>
  </si>
  <si>
    <t>MAX OPE. PITCH</t>
  </si>
  <si>
    <t>N/A</t>
  </si>
  <si>
    <t>t</t>
  </si>
  <si>
    <t>qo</t>
  </si>
  <si>
    <t>CONSTANTS</t>
  </si>
  <si>
    <t>Dm, Mean diameter of bellows convolutions</t>
  </si>
  <si>
    <t>Dm = Db + w + n t</t>
  </si>
  <si>
    <t>w</t>
  </si>
  <si>
    <t>Dm</t>
  </si>
  <si>
    <t>Cp, Factor used in specific design calculations to relate U-shaped bellows convolution segment behavior to a simple strip beam</t>
  </si>
  <si>
    <t>Cp is read from Figure C24 based on the following two constants:</t>
  </si>
  <si>
    <t>q/(2 w)</t>
  </si>
  <si>
    <t>q/(2.2 sqrt(Dm tp))</t>
  </si>
  <si>
    <t>tp, Bellows material thickness for one ply, corrected for thinning during forming</t>
  </si>
  <si>
    <t>tp</t>
  </si>
  <si>
    <t>tp = t sqrt(Db/Dm)</t>
  </si>
  <si>
    <t>Cp</t>
  </si>
  <si>
    <t xml:space="preserve"> --</t>
  </si>
  <si>
    <t>Cf, Factor used in specific design calculations to relate U-shaped bellows convolution segment behavior to a simple strip beam</t>
  </si>
  <si>
    <t>Cf</t>
  </si>
  <si>
    <t>k, a factor which considers the stiffening effect of the attachment weld and the end convolution on the pressure capacity of the bellows tangent</t>
  </si>
  <si>
    <t>k</t>
  </si>
  <si>
    <t>k = Min{ Lt / (1.5 sqrt(Db t)), 1 }</t>
  </si>
  <si>
    <t>Cd, Factor used in specific design calculations to relate U-shaped bellows convolution segment behavior to a simple strip beam</t>
  </si>
  <si>
    <t>Cd is read from Figure C26 based on the above two constants</t>
  </si>
  <si>
    <t>Cd</t>
  </si>
  <si>
    <t>ANNEALED</t>
  </si>
  <si>
    <t>NO</t>
  </si>
  <si>
    <t>EFF. AREA</t>
  </si>
  <si>
    <t>IN^2</t>
  </si>
  <si>
    <t>Eb</t>
  </si>
  <si>
    <t>N.B.: 'c' subscrpts refer to reinforcing collar which we don't have in the LIGO bellows</t>
  </si>
  <si>
    <t>S2, Bellows Circumferential Membrane Stress Due to Pressure:</t>
  </si>
  <si>
    <t>S2 = P Dm / {2 n tp (0.571 + 2 w/q)}</t>
  </si>
  <si>
    <t>S4 = {P/(2 n)} {w/tp}^2 Cp</t>
  </si>
  <si>
    <t>S3 = P w / (2 n tp)</t>
  </si>
  <si>
    <t>S4, Bellows Meridional Bending Stress Due to Pressure</t>
  </si>
  <si>
    <t>S3, Bellows Meridional Membrane Stress Due to Pressure</t>
  </si>
  <si>
    <t>DEFLECTION STRESSES</t>
  </si>
  <si>
    <t>S5, Bellows Meridional Membrane Stress Due to Deflection</t>
  </si>
  <si>
    <t>S5 = (Eb tp^2 e) / (2 w^3 Cf)</t>
  </si>
  <si>
    <t>S6, Bellows Meridional Bending Stress Due to Deflection</t>
  </si>
  <si>
    <t>S6 = (5 Eb tp e) / (3 w^2 Cd)</t>
  </si>
  <si>
    <t>total, equiv., axial per conv.</t>
  </si>
  <si>
    <t>N.B.: in C960015 Hyspan uses qo (pitch at maximum operating expansion) rather than nominal pitch, q, per EJMA eqn. C-22</t>
  </si>
  <si>
    <t>FATIGUE LIFE</t>
  </si>
  <si>
    <t>Nc, Fatigue life, number of cycles to failure</t>
  </si>
  <si>
    <t>Nc = {c / (St - b)}^a</t>
  </si>
  <si>
    <t>St = 0.7 (S3+S4) + (S5+S6)</t>
  </si>
  <si>
    <t>From Figure C28:</t>
  </si>
  <si>
    <t>c</t>
  </si>
  <si>
    <t>a</t>
  </si>
  <si>
    <t>b</t>
  </si>
  <si>
    <t>St</t>
  </si>
  <si>
    <t>Nc</t>
  </si>
  <si>
    <t>cycles</t>
  </si>
  <si>
    <t>fiu, Bellows Theoretical Axial Elastic Spring Rate</t>
  </si>
  <si>
    <t>fiu = 1.7 Dm Eb tp^3 n / (w^3 Cf)</t>
  </si>
  <si>
    <t>fiu</t>
  </si>
  <si>
    <t>lb/in</t>
  </si>
  <si>
    <t>304 Stainless Steel, Elastic Modulus (Eb) vs Temperature</t>
  </si>
  <si>
    <t>http://www.bssa.org.uk/topics.php?article=139</t>
  </si>
  <si>
    <r>
      <t>T (</t>
    </r>
    <r>
      <rPr>
        <sz val="11"/>
        <color theme="1"/>
        <rFont val="Calibri"/>
        <family val="2"/>
      </rPr>
      <t>°C)</t>
    </r>
  </si>
  <si>
    <t>E (GPa)</t>
  </si>
  <si>
    <t>Equation</t>
  </si>
  <si>
    <r>
      <t>T (</t>
    </r>
    <r>
      <rPr>
        <sz val="11"/>
        <color theme="1"/>
        <rFont val="Calibri"/>
        <family val="2"/>
      </rPr>
      <t>°</t>
    </r>
    <r>
      <rPr>
        <sz val="11"/>
        <color theme="1"/>
        <rFont val="Calibri"/>
        <family val="2"/>
        <scheme val="minor"/>
      </rPr>
      <t>F)</t>
    </r>
  </si>
  <si>
    <t>E (psi)</t>
  </si>
  <si>
    <t>Compare to 2.70E+07 psi used by Hyspan in C960015</t>
  </si>
  <si>
    <t>Note: Modulus, Eb(T) is temperature dependent; Change T for Eb</t>
  </si>
  <si>
    <t>Cf is read from Figure C25 based on the above two constants</t>
  </si>
  <si>
    <t>BELLOWS CONV. LENGTH</t>
  </si>
  <si>
    <t>Lb</t>
  </si>
  <si>
    <t>axial movement per convolution due to imposed lateral deflection y (Appendix C)</t>
  </si>
  <si>
    <t>y</t>
  </si>
  <si>
    <t>imposed lateral movement</t>
  </si>
  <si>
    <t>in</t>
  </si>
  <si>
    <t>Vl</t>
  </si>
  <si>
    <t>lb</t>
  </si>
  <si>
    <t>Ml</t>
  </si>
  <si>
    <t>in-lb</t>
  </si>
  <si>
    <t>Moment at ends resulting from imposed lateral deflection y</t>
  </si>
  <si>
    <t>Lateral force at the ends resulting from imposed lateral deflection y</t>
  </si>
  <si>
    <t>fiub</t>
  </si>
  <si>
    <t>Lateral Force &amp; Moment &amp; Stresses</t>
  </si>
  <si>
    <t>N.B.: According to the Standards of the Expansion Joint Manufacturers Association (EJMA), 6th ed., section C-4-1.4, "Deflection Stress":</t>
  </si>
  <si>
    <t>"Typical calculated stress range values are 50,000 to 500,000 psi. These values are not true stresses, since they exceed the elastic limit of the material. They are meaningful when correlated with actual test results in evaluating fatigue life."</t>
  </si>
  <si>
    <t>S5, Bellows Meridional Membrane Stress Due to Lateral Deflection only</t>
  </si>
  <si>
    <t>S5l = (Eb tp^2 e) / (2 w^3 Cf)</t>
  </si>
  <si>
    <t>S5l</t>
  </si>
  <si>
    <t>S6l, Bellows Meridional Bending Stress Due to lateral Deflection only</t>
  </si>
  <si>
    <t>S6l = (5 Eb tp e) / (3 w^2 Cd)</t>
  </si>
  <si>
    <t>S6l</t>
  </si>
  <si>
    <t>eqn C-3</t>
  </si>
  <si>
    <t>radians</t>
  </si>
  <si>
    <r>
      <t xml:space="preserve">TORSION, </t>
    </r>
    <r>
      <rPr>
        <sz val="11"/>
        <color theme="1"/>
        <rFont val="Symbol"/>
        <family val="1"/>
        <charset val="2"/>
      </rPr>
      <t>f</t>
    </r>
  </si>
  <si>
    <t>Ss</t>
  </si>
  <si>
    <t>eqn C-48</t>
  </si>
  <si>
    <r>
      <t xml:space="preserve">Mt = </t>
    </r>
    <r>
      <rPr>
        <sz val="11"/>
        <rFont val="Symbol"/>
        <family val="1"/>
        <charset val="2"/>
      </rPr>
      <t>p</t>
    </r>
    <r>
      <rPr>
        <sz val="11"/>
        <rFont val="Calibri"/>
        <family val="2"/>
        <scheme val="minor"/>
      </rPr>
      <t xml:space="preserve"> G n t D</t>
    </r>
    <r>
      <rPr>
        <vertAlign val="subscript"/>
        <sz val="11"/>
        <rFont val="Calibri"/>
        <family val="2"/>
        <scheme val="minor"/>
      </rPr>
      <t>b</t>
    </r>
    <r>
      <rPr>
        <sz val="11"/>
        <rFont val="Calibri"/>
        <family val="2"/>
        <scheme val="minor"/>
      </rPr>
      <t xml:space="preserve">^3 </t>
    </r>
    <r>
      <rPr>
        <sz val="11"/>
        <rFont val="Symbol"/>
        <family val="1"/>
        <charset val="2"/>
      </rPr>
      <t>f</t>
    </r>
    <r>
      <rPr>
        <sz val="11"/>
        <rFont val="Calibri"/>
        <family val="2"/>
        <scheme val="minor"/>
      </rPr>
      <t>/(4 L</t>
    </r>
    <r>
      <rPr>
        <vertAlign val="subscript"/>
        <sz val="11"/>
        <rFont val="Calibri"/>
        <family val="2"/>
        <scheme val="minor"/>
      </rPr>
      <t>d</t>
    </r>
    <r>
      <rPr>
        <sz val="11"/>
        <rFont val="Calibri"/>
        <family val="2"/>
        <scheme val="minor"/>
      </rPr>
      <t xml:space="preserve"> N)</t>
    </r>
  </si>
  <si>
    <r>
      <t>M</t>
    </r>
    <r>
      <rPr>
        <vertAlign val="subscript"/>
        <sz val="11"/>
        <rFont val="Calibri"/>
        <family val="2"/>
        <scheme val="minor"/>
      </rPr>
      <t>t</t>
    </r>
  </si>
  <si>
    <t>G</t>
  </si>
  <si>
    <r>
      <t>L</t>
    </r>
    <r>
      <rPr>
        <vertAlign val="subscript"/>
        <sz val="11"/>
        <rFont val="Calibri"/>
        <family val="2"/>
        <scheme val="minor"/>
      </rPr>
      <t>d</t>
    </r>
  </si>
  <si>
    <t>developed length of one convolution, Ld = 0.571*q+2*w (section C-4.2.4)</t>
  </si>
  <si>
    <r>
      <t>S</t>
    </r>
    <r>
      <rPr>
        <vertAlign val="subscript"/>
        <sz val="11"/>
        <rFont val="Calibri"/>
        <family val="2"/>
        <scheme val="minor"/>
      </rPr>
      <t>s</t>
    </r>
    <r>
      <rPr>
        <sz val="11"/>
        <rFont val="Calibri"/>
        <family val="2"/>
        <scheme val="minor"/>
      </rPr>
      <t xml:space="preserve"> = 2 M</t>
    </r>
    <r>
      <rPr>
        <vertAlign val="subscript"/>
        <sz val="11"/>
        <rFont val="Calibri"/>
        <family val="2"/>
        <scheme val="minor"/>
      </rPr>
      <t>t</t>
    </r>
    <r>
      <rPr>
        <sz val="11"/>
        <rFont val="Calibri"/>
        <family val="2"/>
        <scheme val="minor"/>
      </rPr>
      <t xml:space="preserve">/(n t </t>
    </r>
    <r>
      <rPr>
        <sz val="11"/>
        <rFont val="Symbol"/>
        <family val="1"/>
        <charset val="2"/>
      </rPr>
      <t>p</t>
    </r>
    <r>
      <rPr>
        <sz val="11"/>
        <rFont val="Calibri"/>
        <family val="2"/>
        <scheme val="minor"/>
      </rPr>
      <t xml:space="preserve"> D</t>
    </r>
    <r>
      <rPr>
        <vertAlign val="subscript"/>
        <sz val="11"/>
        <rFont val="Calibri"/>
        <family val="2"/>
        <scheme val="minor"/>
      </rPr>
      <t>b</t>
    </r>
    <r>
      <rPr>
        <sz val="11"/>
        <rFont val="Calibri"/>
        <family val="2"/>
        <scheme val="minor"/>
      </rPr>
      <t>^2)</t>
    </r>
  </si>
  <si>
    <t>eqn C-47, shear stress due to torsion</t>
  </si>
  <si>
    <t>allowable bellows material stress at design temperature. This value is for 304L @200F (per Larry Jones' note)</t>
  </si>
  <si>
    <t>for 304L, shear modulus (per Larry Jones' note)</t>
  </si>
  <si>
    <r>
      <t>S</t>
    </r>
    <r>
      <rPr>
        <vertAlign val="subscript"/>
        <sz val="11"/>
        <rFont val="Calibri"/>
        <family val="2"/>
        <scheme val="minor"/>
      </rPr>
      <t>s</t>
    </r>
    <r>
      <rPr>
        <sz val="11"/>
        <rFont val="Calibri"/>
        <family val="2"/>
        <scheme val="minor"/>
      </rPr>
      <t xml:space="preserve"> &lt; 0.25 S</t>
    </r>
    <r>
      <rPr>
        <vertAlign val="subscript"/>
        <sz val="11"/>
        <rFont val="Calibri"/>
        <family val="2"/>
        <scheme val="minor"/>
      </rPr>
      <t>ab</t>
    </r>
    <r>
      <rPr>
        <sz val="11"/>
        <rFont val="Calibri"/>
        <family val="2"/>
        <scheme val="minor"/>
      </rPr>
      <t xml:space="preserve"> per eqn C-47</t>
    </r>
  </si>
  <si>
    <r>
      <t>S</t>
    </r>
    <r>
      <rPr>
        <vertAlign val="subscript"/>
        <sz val="11"/>
        <rFont val="Calibri"/>
        <family val="2"/>
        <scheme val="minor"/>
      </rPr>
      <t>ab</t>
    </r>
  </si>
  <si>
    <r>
      <t>S</t>
    </r>
    <r>
      <rPr>
        <vertAlign val="subscript"/>
        <sz val="11"/>
        <rFont val="Calibri"/>
        <family val="2"/>
        <scheme val="minor"/>
      </rPr>
      <t>ab</t>
    </r>
    <r>
      <rPr>
        <sz val="11"/>
        <rFont val="Calibri"/>
        <family val="2"/>
        <scheme val="minor"/>
      </rPr>
      <t>/4</t>
    </r>
  </si>
  <si>
    <t>degrees</t>
  </si>
  <si>
    <r>
      <t xml:space="preserve">allowable torsion, </t>
    </r>
    <r>
      <rPr>
        <sz val="11"/>
        <color rgb="FFFF0000"/>
        <rFont val="Symbol"/>
        <family val="1"/>
        <charset val="2"/>
      </rPr>
      <t>f</t>
    </r>
    <r>
      <rPr>
        <vertAlign val="subscript"/>
        <sz val="11"/>
        <color rgb="FFFF0000"/>
        <rFont val="Calibri"/>
        <family val="2"/>
        <scheme val="minor"/>
      </rPr>
      <t>ab</t>
    </r>
  </si>
  <si>
    <t>A+ Filter Cavity Tube, Bellows (D# pending)</t>
  </si>
  <si>
    <t>Chandra Romel's email 11/19/2019:</t>
  </si>
  <si>
    <t>About the bellows, the diameter of convolutions is 11.3” so we will need to specify a neck to that is at least as long as the stud used to accommodate 0.5” GV blind hole + 1.12” CF thickness + 0.5” for two nuts (in case we have to double nut when studs get stuck) = 2”. Total length of bellows (flange to flange) should be 20” and here is the break down in order from one end to other:</t>
  </si>
  <si>
    <t>Flange (rotatable):  1.12”</t>
  </si>
  <si>
    <t>Neck:  2” (distance between back side of flange and first convolution)</t>
  </si>
  <si>
    <t>Convolutions:  15.26” live length (for +/-1.5” stroke)</t>
  </si>
  <si>
    <t>Neck:  ½”</t>
  </si>
  <si>
    <t>Flange (non-rotatable):  1.12”</t>
  </si>
  <si>
    <t>MDC nearest equivalent (without CF flanges):</t>
  </si>
  <si>
    <t>Hyspan nearest equivalent (with Flanges, but not CF flanges):</t>
  </si>
  <si>
    <t>type 2509</t>
  </si>
  <si>
    <t>total length</t>
  </si>
  <si>
    <t>10 NPS, 14 in overall length</t>
  </si>
  <si>
    <t>5.31 in compression</t>
  </si>
  <si>
    <t>2.66 in extension</t>
  </si>
  <si>
    <t>Note that the axial deflection for a 6" active (convolution) length is +1.50/-.60</t>
  </si>
  <si>
    <t>Overall length for an MDC 4700224 with CF flanges would be ~10.5 in</t>
  </si>
  <si>
    <t>Nor-Cal nearest equivalent:</t>
  </si>
  <si>
    <t>8" ID (10 CF), not the 10" ID (12 CF) that we seek</t>
  </si>
  <si>
    <t>max. compression is 7.00 - 6.2 = 1.8"</t>
  </si>
  <si>
    <t>HighVac Co. nearest equivalent:</t>
  </si>
  <si>
    <t>https://highvacco.com/products/cf-flanges-fittings/cf-flanges-adaptors/cf-flanges-to-stainless-bellows/</t>
  </si>
  <si>
    <t>CF1325-F has 3 in compression range with a overall length (free) of 14 in</t>
  </si>
  <si>
    <t>https://www.hyspan.com/2500RoundedEj.html</t>
  </si>
  <si>
    <t>in/in/F</t>
  </si>
  <si>
    <t>1/C</t>
  </si>
  <si>
    <t>ft</t>
  </si>
  <si>
    <t>C</t>
  </si>
  <si>
    <t>CTE (coefficient of thermal expansion)</t>
  </si>
  <si>
    <t>--</t>
  </si>
  <si>
    <t>maximum # 20 ft sections between bellows</t>
  </si>
  <si>
    <t>maximum length of pipe between bellows</t>
  </si>
  <si>
    <t>maximum bakeout temperature</t>
  </si>
  <si>
    <t>theoretical axial spring rate for the bellows</t>
  </si>
  <si>
    <t>input parameters</t>
  </si>
  <si>
    <t>OVERALL LENGTH</t>
  </si>
  <si>
    <t>L</t>
  </si>
  <si>
    <t>FLANGE THICKNESS</t>
  </si>
  <si>
    <t>xe</t>
  </si>
  <si>
    <t>xc</t>
  </si>
  <si>
    <t>θ</t>
  </si>
  <si>
    <t>ANGULAR (bending)</t>
  </si>
  <si>
    <t>eqn C-5</t>
  </si>
  <si>
    <t>eqn C-1</t>
  </si>
  <si>
    <t>(one flange is rotatable to take out any torque during assembly)</t>
  </si>
  <si>
    <t>COMBINED COMPRESSION</t>
  </si>
  <si>
    <t>COMBINED EXTENSION</t>
  </si>
  <si>
    <t>ec</t>
  </si>
  <si>
    <t>ee</t>
  </si>
  <si>
    <t>per convolution</t>
  </si>
  <si>
    <t>+ tolerance on flanged pipe length (D1900443)</t>
  </si>
  <si>
    <t>- tolerance on flanged pipe length (D1900443)</t>
  </si>
  <si>
    <t>+ tolerance on 6-Way Cross (D1900485)</t>
  </si>
  <si>
    <t>- tolerance on 6-Way Cross (D1900485)</t>
  </si>
  <si>
    <t>maximum # of 6-Way Cross elements between bellows</t>
  </si>
  <si>
    <t>length of 6-Way Cross elements between 10" CF flanges</t>
  </si>
  <si>
    <t>maximum length of pipe &amp; crosses between bellows</t>
  </si>
  <si>
    <t>assembly temperature &amp; bellows zero-strain temperature</t>
  </si>
  <si>
    <t>+ tolerance on Bellows length (D# TBD)</t>
  </si>
  <si>
    <t>- tolerance on Bellows length (D# TBD)</t>
  </si>
  <si>
    <t># of bellows in each section between anchor supports</t>
  </si>
  <si>
    <t>Bellows initial compression due to tolerances</t>
  </si>
  <si>
    <t>+ tolerance on Anchor Support axial position (+/- 3mm monument survey tolerance per T1000230, section 5)</t>
  </si>
  <si>
    <t>- tolerance on Anchor Support axial position (+/- 3mm monument survey tolerance per T1000230, section 5)</t>
  </si>
  <si>
    <t>Bellows initial extension due to tolerances</t>
  </si>
  <si>
    <t>Fabrication &amp; Assembly Tolerances:</t>
  </si>
  <si>
    <t>bake-out induced bellows compression between anchors</t>
  </si>
  <si>
    <t>FCT Layout parameters:</t>
  </si>
  <si>
    <t>pipe &amp; cross material</t>
  </si>
  <si>
    <t>Cold Temperature Extreme</t>
  </si>
  <si>
    <t>minimum recorded temperature @Richland, WA</t>
  </si>
  <si>
    <t>minimum recorded temperature @Baton Rouge, LA</t>
  </si>
  <si>
    <t>bellows extension due to cold excursion</t>
  </si>
  <si>
    <t>Longitudinal:</t>
  </si>
  <si>
    <t>Lateral:</t>
  </si>
  <si>
    <t>Angular (bending):</t>
  </si>
  <si>
    <t>+/- Bellows lateral deflection</t>
  </si>
  <si>
    <t>+/- angular (parallel) tolerance on 6-Way Cross (D1900485)</t>
  </si>
  <si>
    <t>+/- angular (parallel) tolerance on flanged pipe (D1900443)</t>
  </si>
  <si>
    <t>Bake-Out (&lt; 10 cycles):</t>
  </si>
  <si>
    <t>Diurnal maximum temperature:</t>
  </si>
  <si>
    <t>Max @LLO in BTE</t>
  </si>
  <si>
    <t>Estimate of max @LHO (desert)</t>
  </si>
  <si>
    <t>diurnal maximum induced bellows compression between anchors</t>
  </si>
  <si>
    <t>mrad</t>
  </si>
  <si>
    <t>Combined Bellows Movements:</t>
  </si>
  <si>
    <t>Xe, maximum axial extension</t>
  </si>
  <si>
    <t>Y, maximum lateral deflection</t>
  </si>
  <si>
    <t>θ, rotation (bending)</t>
  </si>
  <si>
    <t>Xc, maximum axial compression - very few cycles (bake-out)</t>
  </si>
  <si>
    <t>Xc, maximum axial compression - diurnal cycles</t>
  </si>
  <si>
    <r>
      <t>C</t>
    </r>
    <r>
      <rPr>
        <vertAlign val="subscript"/>
        <sz val="11"/>
        <color theme="1"/>
        <rFont val="Calibri"/>
        <family val="2"/>
        <scheme val="minor"/>
      </rPr>
      <t>m</t>
    </r>
  </si>
  <si>
    <t>Material strength factor, 1.5 for bellows in annealed condition, 3 for bellows in the as-formed (cold worked condition)</t>
  </si>
  <si>
    <r>
      <t>C</t>
    </r>
    <r>
      <rPr>
        <vertAlign val="subscript"/>
        <sz val="11"/>
        <color theme="1"/>
        <rFont val="Calibri"/>
        <family val="2"/>
        <scheme val="minor"/>
      </rPr>
      <t>wb</t>
    </r>
  </si>
  <si>
    <t>Longitudinal weld joint efficiency factor for the bellows</t>
  </si>
  <si>
    <r>
      <t>S</t>
    </r>
    <r>
      <rPr>
        <vertAlign val="subscript"/>
        <sz val="11"/>
        <color theme="1"/>
        <rFont val="Calibri"/>
        <family val="2"/>
        <scheme val="minor"/>
      </rPr>
      <t>2</t>
    </r>
  </si>
  <si>
    <r>
      <t>S</t>
    </r>
    <r>
      <rPr>
        <vertAlign val="subscript"/>
        <sz val="11"/>
        <color theme="1"/>
        <rFont val="Calibri"/>
        <family val="2"/>
        <scheme val="minor"/>
      </rPr>
      <t>1</t>
    </r>
  </si>
  <si>
    <r>
      <t>S</t>
    </r>
    <r>
      <rPr>
        <vertAlign val="subscript"/>
        <sz val="11"/>
        <color theme="1"/>
        <rFont val="Calibri"/>
        <family val="2"/>
        <scheme val="minor"/>
      </rPr>
      <t>3</t>
    </r>
  </si>
  <si>
    <r>
      <t>S</t>
    </r>
    <r>
      <rPr>
        <vertAlign val="subscript"/>
        <sz val="11"/>
        <color theme="1"/>
        <rFont val="Calibri"/>
        <family val="2"/>
        <scheme val="minor"/>
      </rPr>
      <t>4</t>
    </r>
  </si>
  <si>
    <r>
      <t>S</t>
    </r>
    <r>
      <rPr>
        <vertAlign val="subscript"/>
        <sz val="11"/>
        <color theme="1"/>
        <rFont val="Calibri"/>
        <family val="2"/>
        <scheme val="minor"/>
      </rPr>
      <t>1</t>
    </r>
    <r>
      <rPr>
        <sz val="11"/>
        <color theme="1"/>
        <rFont val="Calibri"/>
        <family val="2"/>
        <scheme val="minor"/>
      </rPr>
      <t xml:space="preserve"> &lt; C</t>
    </r>
    <r>
      <rPr>
        <vertAlign val="subscript"/>
        <sz val="11"/>
        <color theme="1"/>
        <rFont val="Calibri"/>
        <family val="2"/>
        <scheme val="minor"/>
      </rPr>
      <t>wb</t>
    </r>
    <r>
      <rPr>
        <sz val="11"/>
        <color theme="1"/>
        <rFont val="Calibri"/>
        <family val="2"/>
        <scheme val="minor"/>
      </rPr>
      <t xml:space="preserve"> S</t>
    </r>
    <r>
      <rPr>
        <vertAlign val="subscript"/>
        <sz val="11"/>
        <color theme="1"/>
        <rFont val="Calibri"/>
        <family val="2"/>
        <scheme val="minor"/>
      </rPr>
      <t>ab</t>
    </r>
  </si>
  <si>
    <r>
      <t>S</t>
    </r>
    <r>
      <rPr>
        <vertAlign val="subscript"/>
        <sz val="11"/>
        <color theme="1"/>
        <rFont val="Calibri"/>
        <family val="2"/>
        <scheme val="minor"/>
      </rPr>
      <t>2</t>
    </r>
    <r>
      <rPr>
        <sz val="11"/>
        <color theme="1"/>
        <rFont val="Calibri"/>
        <family val="2"/>
        <scheme val="minor"/>
      </rPr>
      <t xml:space="preserve"> &lt; C</t>
    </r>
    <r>
      <rPr>
        <vertAlign val="subscript"/>
        <sz val="11"/>
        <color theme="1"/>
        <rFont val="Calibri"/>
        <family val="2"/>
        <scheme val="minor"/>
      </rPr>
      <t>wb</t>
    </r>
    <r>
      <rPr>
        <sz val="11"/>
        <color theme="1"/>
        <rFont val="Calibri"/>
        <family val="2"/>
        <scheme val="minor"/>
      </rPr>
      <t xml:space="preserve"> S</t>
    </r>
    <r>
      <rPr>
        <vertAlign val="subscript"/>
        <sz val="11"/>
        <color theme="1"/>
        <rFont val="Calibri"/>
        <family val="2"/>
        <scheme val="minor"/>
      </rPr>
      <t>ab</t>
    </r>
  </si>
  <si>
    <r>
      <t>S</t>
    </r>
    <r>
      <rPr>
        <vertAlign val="subscript"/>
        <sz val="11"/>
        <color theme="1"/>
        <rFont val="Calibri"/>
        <family val="2"/>
        <scheme val="minor"/>
      </rPr>
      <t>3</t>
    </r>
    <r>
      <rPr>
        <sz val="11"/>
        <color theme="1"/>
        <rFont val="Calibri"/>
        <family val="2"/>
        <scheme val="minor"/>
      </rPr>
      <t xml:space="preserve"> &lt; C</t>
    </r>
    <r>
      <rPr>
        <vertAlign val="subscript"/>
        <sz val="11"/>
        <color theme="1"/>
        <rFont val="Calibri"/>
        <family val="2"/>
        <scheme val="minor"/>
      </rPr>
      <t>m</t>
    </r>
    <r>
      <rPr>
        <sz val="11"/>
        <color theme="1"/>
        <rFont val="Calibri"/>
        <family val="2"/>
        <scheme val="minor"/>
      </rPr>
      <t xml:space="preserve"> S</t>
    </r>
    <r>
      <rPr>
        <vertAlign val="subscript"/>
        <sz val="11"/>
        <color theme="1"/>
        <rFont val="Calibri"/>
        <family val="2"/>
        <scheme val="minor"/>
      </rPr>
      <t>ab</t>
    </r>
  </si>
  <si>
    <r>
      <t>S</t>
    </r>
    <r>
      <rPr>
        <vertAlign val="subscript"/>
        <sz val="11"/>
        <color theme="1"/>
        <rFont val="Calibri"/>
        <family val="2"/>
        <scheme val="minor"/>
      </rPr>
      <t>4</t>
    </r>
    <r>
      <rPr>
        <sz val="11"/>
        <color theme="1"/>
        <rFont val="Calibri"/>
        <family val="2"/>
        <scheme val="minor"/>
      </rPr>
      <t xml:space="preserve"> &lt; C</t>
    </r>
    <r>
      <rPr>
        <vertAlign val="subscript"/>
        <sz val="11"/>
        <color theme="1"/>
        <rFont val="Calibri"/>
        <family val="2"/>
        <scheme val="minor"/>
      </rPr>
      <t>m</t>
    </r>
    <r>
      <rPr>
        <sz val="11"/>
        <color theme="1"/>
        <rFont val="Calibri"/>
        <family val="2"/>
        <scheme val="minor"/>
      </rPr>
      <t xml:space="preserve"> S</t>
    </r>
    <r>
      <rPr>
        <vertAlign val="subscript"/>
        <sz val="11"/>
        <color theme="1"/>
        <rFont val="Calibri"/>
        <family val="2"/>
        <scheme val="minor"/>
      </rPr>
      <t>ab</t>
    </r>
  </si>
  <si>
    <r>
      <t>S</t>
    </r>
    <r>
      <rPr>
        <vertAlign val="subscript"/>
        <sz val="11"/>
        <color theme="1"/>
        <rFont val="Calibri"/>
        <family val="2"/>
        <scheme val="minor"/>
      </rPr>
      <t>5</t>
    </r>
  </si>
  <si>
    <r>
      <t>S</t>
    </r>
    <r>
      <rPr>
        <vertAlign val="subscript"/>
        <sz val="11"/>
        <color theme="1"/>
        <rFont val="Calibri"/>
        <family val="2"/>
        <scheme val="minor"/>
      </rPr>
      <t>6</t>
    </r>
  </si>
  <si>
    <t>SPRING RATE &amp; Axial Force</t>
  </si>
  <si>
    <t>Fa</t>
  </si>
  <si>
    <t>Huntington Vacuum Nearest:</t>
  </si>
  <si>
    <t>Dp</t>
  </si>
  <si>
    <t>4 Dp</t>
  </si>
  <si>
    <t>14 Dp</t>
  </si>
  <si>
    <t>G1</t>
  </si>
  <si>
    <t>G2</t>
  </si>
  <si>
    <t>Lmax</t>
  </si>
  <si>
    <t>Ep</t>
  </si>
  <si>
    <t>Ip</t>
  </si>
  <si>
    <t>pipe wall thickness (per D1900443-v5)</t>
  </si>
  <si>
    <t>elastic modulus of pipe material (304L per D1900443-v5)</t>
  </si>
  <si>
    <t>pipe outer diameter (per D1900443-v5)</t>
  </si>
  <si>
    <t>Di</t>
  </si>
  <si>
    <t>pipe inner diameter</t>
  </si>
  <si>
    <t>in^4</t>
  </si>
  <si>
    <t>Pd</t>
  </si>
  <si>
    <t>Ae</t>
  </si>
  <si>
    <t>bellows effective area, corresponding to the mean diameter of the convolutions, Dm</t>
  </si>
  <si>
    <t>in^2</t>
  </si>
  <si>
    <t>fi</t>
  </si>
  <si>
    <t>equivalent axial compression per convolution</t>
  </si>
  <si>
    <t>theoretical, initial, axial elastic spring rate per convolution</t>
  </si>
  <si>
    <t>maximum guide spacing per eqn. B-9</t>
  </si>
  <si>
    <t>Lmax-v</t>
  </si>
  <si>
    <t>pressure (inside minus outside)</t>
  </si>
  <si>
    <t>max guide length, vented while baking</t>
  </si>
  <si>
    <t>+/- centering tolerance on each flanged pipe (D1900443)</t>
  </si>
  <si>
    <t>+/- centering tolerance on each 6-Way Cross (D1900485)</t>
  </si>
  <si>
    <t>+/- tolerance on Anchor Support lateral position (+/- 3mm monument survey tolerance per T1000230, section 5)</t>
  </si>
  <si>
    <t>pipe 1</t>
  </si>
  <si>
    <t>end 1</t>
  </si>
  <si>
    <t>end 2</t>
  </si>
  <si>
    <t>pipe 2</t>
  </si>
  <si>
    <t>cross 1</t>
  </si>
  <si>
    <t>cross 2</t>
  </si>
  <si>
    <t>pipe 3</t>
  </si>
  <si>
    <t>lateral (in)</t>
  </si>
  <si>
    <t>+/- total angular (bending) tolerance</t>
  </si>
  <si>
    <t>+/- lateral error due to angular tolerances if the tube sections are bent to compensate</t>
  </si>
  <si>
    <t>lateral (in) 
w/ bending correction</t>
  </si>
  <si>
    <t>fivb</t>
  </si>
  <si>
    <t>theoretical lateral spring rate for the bellows (not defined in EJMA guidelines)</t>
  </si>
  <si>
    <t>N/m</t>
  </si>
  <si>
    <t>theoretical torsional spring rate for the bellows (not defined in the EJMA guidelines)</t>
  </si>
  <si>
    <t>N-m/rad</t>
  </si>
  <si>
    <t>in-lb/rad</t>
  </si>
  <si>
    <t>firwb</t>
  </si>
  <si>
    <t>+ intentional bellows extension during assembly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</si>
</sst>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
    <numFmt numFmtId="166" formatCode="0.0"/>
    <numFmt numFmtId="167" formatCode="0.0E+00"/>
  </numFmts>
  <fonts count="15" x14ac:knownFonts="1">
    <font>
      <sz val="11"/>
      <color theme="1"/>
      <name val="Calibri"/>
      <family val="2"/>
      <scheme val="minor"/>
    </font>
    <font>
      <sz val="11"/>
      <color rgb="FFFF0000"/>
      <name val="Calibri"/>
      <family val="2"/>
      <scheme val="minor"/>
    </font>
    <font>
      <sz val="11"/>
      <color theme="1"/>
      <name val="Calibri"/>
      <family val="2"/>
    </font>
    <font>
      <b/>
      <u/>
      <sz val="11"/>
      <color theme="1"/>
      <name val="Calibri"/>
      <family val="2"/>
      <scheme val="minor"/>
    </font>
    <font>
      <b/>
      <sz val="14"/>
      <color theme="1"/>
      <name val="Calibri"/>
      <family val="2"/>
      <scheme val="minor"/>
    </font>
    <font>
      <sz val="18"/>
      <color theme="1"/>
      <name val="Calibri"/>
      <family val="2"/>
      <scheme val="minor"/>
    </font>
    <font>
      <b/>
      <sz val="11"/>
      <color theme="1"/>
      <name val="Calibri"/>
      <family val="2"/>
      <scheme val="minor"/>
    </font>
    <font>
      <u/>
      <sz val="11"/>
      <color theme="10"/>
      <name val="Calibri"/>
      <family val="2"/>
      <scheme val="minor"/>
    </font>
    <font>
      <sz val="11"/>
      <color theme="1"/>
      <name val="Symbol"/>
      <family val="1"/>
      <charset val="2"/>
    </font>
    <font>
      <sz val="11"/>
      <name val="Calibri"/>
      <family val="2"/>
      <scheme val="minor"/>
    </font>
    <font>
      <sz val="11"/>
      <name val="Symbol"/>
      <family val="1"/>
      <charset val="2"/>
    </font>
    <font>
      <vertAlign val="subscript"/>
      <sz val="11"/>
      <name val="Calibri"/>
      <family val="2"/>
      <scheme val="minor"/>
    </font>
    <font>
      <sz val="11"/>
      <color rgb="FFFF0000"/>
      <name val="Symbol"/>
      <family val="1"/>
      <charset val="2"/>
    </font>
    <font>
      <vertAlign val="subscript"/>
      <sz val="11"/>
      <color rgb="FFFF0000"/>
      <name val="Calibri"/>
      <family val="2"/>
      <scheme val="minor"/>
    </font>
    <font>
      <vertAlign val="subscript"/>
      <sz val="11"/>
      <color theme="1"/>
      <name val="Calibri"/>
      <family val="2"/>
      <scheme val="minor"/>
    </font>
  </fonts>
  <fills count="8">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9"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7" fillId="0" borderId="0" applyNumberFormat="0" applyFill="0" applyBorder="0" applyAlignment="0" applyProtection="0"/>
  </cellStyleXfs>
  <cellXfs count="56">
    <xf numFmtId="0" fontId="0" fillId="0" borderId="0" xfId="0"/>
    <xf numFmtId="0" fontId="2" fillId="0" borderId="0" xfId="0" applyFont="1"/>
    <xf numFmtId="164" fontId="0" fillId="0" borderId="0" xfId="0" applyNumberFormat="1"/>
    <xf numFmtId="0" fontId="3" fillId="0" borderId="0" xfId="0" applyFont="1"/>
    <xf numFmtId="0" fontId="3" fillId="0" borderId="0" xfId="0" applyFont="1" applyAlignment="1">
      <alignment horizontal="left"/>
    </xf>
    <xf numFmtId="0" fontId="0" fillId="0" borderId="0" xfId="0" applyAlignment="1">
      <alignment horizontal="right"/>
    </xf>
    <xf numFmtId="0" fontId="0" fillId="0" borderId="0" xfId="0" applyAlignment="1">
      <alignment horizontal="left"/>
    </xf>
    <xf numFmtId="165" fontId="0" fillId="0" borderId="0" xfId="0" applyNumberFormat="1"/>
    <xf numFmtId="2" fontId="0" fillId="0" borderId="0" xfId="0" applyNumberFormat="1"/>
    <xf numFmtId="0" fontId="1" fillId="0" borderId="0" xfId="0" applyFont="1"/>
    <xf numFmtId="1" fontId="0" fillId="0" borderId="0" xfId="0" applyNumberFormat="1"/>
    <xf numFmtId="0" fontId="3" fillId="0" borderId="0" xfId="0" applyFont="1" applyAlignment="1"/>
    <xf numFmtId="11" fontId="0" fillId="0" borderId="0" xfId="0" applyNumberFormat="1"/>
    <xf numFmtId="3" fontId="0" fillId="0" borderId="0" xfId="0" applyNumberFormat="1"/>
    <xf numFmtId="0" fontId="0" fillId="0" borderId="0" xfId="0" applyFill="1" applyBorder="1" applyAlignment="1">
      <alignment horizontal="left"/>
    </xf>
    <xf numFmtId="3" fontId="0" fillId="3" borderId="0" xfId="0" applyNumberFormat="1" applyFill="1"/>
    <xf numFmtId="166" fontId="0" fillId="0" borderId="0" xfId="0" applyNumberFormat="1"/>
    <xf numFmtId="0" fontId="7" fillId="0" borderId="0" xfId="1"/>
    <xf numFmtId="0" fontId="6" fillId="0" borderId="0" xfId="0" applyFont="1"/>
    <xf numFmtId="0" fontId="5" fillId="0" borderId="0" xfId="0" applyFont="1" applyFill="1"/>
    <xf numFmtId="0" fontId="0" fillId="0" borderId="0" xfId="0" applyFill="1"/>
    <xf numFmtId="0" fontId="1" fillId="0" borderId="0" xfId="0" applyFont="1" applyFill="1" applyAlignment="1">
      <alignment horizontal="left"/>
    </xf>
    <xf numFmtId="0" fontId="0" fillId="0" borderId="0" xfId="0" applyFill="1" applyAlignment="1">
      <alignment horizontal="left"/>
    </xf>
    <xf numFmtId="0" fontId="9" fillId="0" borderId="0" xfId="0" applyFont="1"/>
    <xf numFmtId="0" fontId="9" fillId="0" borderId="0" xfId="0" applyFont="1" applyAlignment="1">
      <alignment horizontal="right"/>
    </xf>
    <xf numFmtId="11" fontId="9" fillId="0" borderId="0" xfId="0" applyNumberFormat="1" applyFont="1"/>
    <xf numFmtId="2" fontId="9" fillId="0" borderId="0" xfId="0" applyNumberFormat="1" applyFont="1"/>
    <xf numFmtId="3" fontId="9" fillId="0" borderId="0" xfId="0" applyNumberFormat="1" applyFont="1"/>
    <xf numFmtId="0" fontId="1" fillId="0" borderId="0" xfId="0" applyFont="1" applyAlignment="1">
      <alignment horizontal="right"/>
    </xf>
    <xf numFmtId="167" fontId="1" fillId="0" borderId="0" xfId="0" applyNumberFormat="1" applyFont="1"/>
    <xf numFmtId="164" fontId="1" fillId="0" borderId="0" xfId="0" applyNumberFormat="1" applyFont="1"/>
    <xf numFmtId="0" fontId="0" fillId="0" borderId="0" xfId="0" applyFill="1" applyBorder="1"/>
    <xf numFmtId="164" fontId="0" fillId="0" borderId="0" xfId="0" applyNumberFormat="1" applyFill="1"/>
    <xf numFmtId="0" fontId="0" fillId="0" borderId="0" xfId="0" quotePrefix="1"/>
    <xf numFmtId="0" fontId="0" fillId="4" borderId="0" xfId="0" applyFill="1"/>
    <xf numFmtId="164" fontId="0" fillId="4" borderId="0" xfId="0" applyNumberFormat="1" applyFill="1"/>
    <xf numFmtId="2" fontId="0" fillId="0" borderId="0" xfId="0" applyNumberFormat="1" applyFill="1"/>
    <xf numFmtId="2" fontId="0" fillId="4" borderId="0" xfId="0" applyNumberFormat="1" applyFill="1"/>
    <xf numFmtId="0" fontId="0" fillId="0" borderId="0" xfId="0" applyNumberFormat="1"/>
    <xf numFmtId="0" fontId="6" fillId="0" borderId="0" xfId="0" applyFont="1" applyAlignment="1">
      <alignment horizontal="left" indent="2"/>
    </xf>
    <xf numFmtId="0" fontId="0" fillId="0" borderId="1" xfId="0" applyBorder="1"/>
    <xf numFmtId="164" fontId="0" fillId="0" borderId="1" xfId="0" applyNumberFormat="1" applyBorder="1"/>
    <xf numFmtId="0" fontId="0" fillId="0" borderId="1" xfId="0" applyBorder="1" applyAlignment="1">
      <alignment wrapText="1"/>
    </xf>
    <xf numFmtId="3" fontId="0" fillId="7" borderId="1" xfId="0" applyNumberFormat="1" applyFill="1" applyBorder="1"/>
    <xf numFmtId="0" fontId="0" fillId="7" borderId="1" xfId="0" applyFill="1" applyBorder="1"/>
    <xf numFmtId="0" fontId="0" fillId="7" borderId="0" xfId="0" applyFill="1"/>
    <xf numFmtId="0" fontId="9" fillId="7" borderId="0" xfId="0" applyFont="1" applyFill="1"/>
    <xf numFmtId="0" fontId="0" fillId="0" borderId="0" xfId="0" applyAlignment="1">
      <alignment horizontal="left" vertical="top" wrapText="1"/>
    </xf>
    <xf numFmtId="0" fontId="4" fillId="2" borderId="0" xfId="0" applyFont="1" applyFill="1" applyAlignment="1">
      <alignment horizontal="center"/>
    </xf>
    <xf numFmtId="0" fontId="3" fillId="0" borderId="0" xfId="0" applyFont="1" applyAlignment="1">
      <alignment horizontal="left"/>
    </xf>
    <xf numFmtId="0" fontId="0" fillId="3" borderId="0" xfId="0" applyFill="1" applyAlignment="1">
      <alignment horizontal="left"/>
    </xf>
    <xf numFmtId="0" fontId="3" fillId="0" borderId="0" xfId="0" applyFont="1" applyAlignment="1">
      <alignment horizontal="right"/>
    </xf>
    <xf numFmtId="0" fontId="0" fillId="5" borderId="0" xfId="0" applyFill="1" applyAlignment="1">
      <alignment horizontal="left" wrapText="1"/>
    </xf>
    <xf numFmtId="0" fontId="0" fillId="5" borderId="0" xfId="0" applyFill="1" applyAlignment="1">
      <alignment horizontal="left"/>
    </xf>
    <xf numFmtId="0" fontId="0" fillId="4" borderId="0" xfId="0" applyFill="1" applyAlignment="1">
      <alignment horizontal="center"/>
    </xf>
    <xf numFmtId="0" fontId="5" fillId="6" borderId="0" xfId="0" applyFont="1" applyFill="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Elastic Modulus of 304 SS versus</a:t>
            </a:r>
            <a:r>
              <a:rPr lang="en-US" baseline="0"/>
              <a:t> Temperature</a:t>
            </a:r>
            <a:endParaRPr lang="en-US"/>
          </a:p>
        </c:rich>
      </c:tx>
      <c:layout>
        <c:manualLayout>
          <c:xMode val="edge"/>
          <c:yMode val="edge"/>
          <c:x val="0.13380555555555557"/>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0"/>
            <c:dispEq val="1"/>
            <c:trendlineLbl>
              <c:layout>
                <c:manualLayout>
                  <c:x val="-0.1010923009623797"/>
                  <c:y val="0.14368511227763195"/>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800" baseline="0"/>
                      <a:t>y = 201.73e</a:t>
                    </a:r>
                    <a:r>
                      <a:rPr lang="en-US" sz="1800" baseline="30000"/>
                      <a:t>-4E-04x</a:t>
                    </a:r>
                    <a:endParaRPr lang="en-US" sz="1800"/>
                  </a:p>
                </c:rich>
              </c:tx>
              <c:numFmt formatCode="0.000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'Eb vs T'!$A$6:$A$11</c:f>
              <c:numCache>
                <c:formatCode>General</c:formatCode>
                <c:ptCount val="6"/>
                <c:pt idx="0">
                  <c:v>20</c:v>
                </c:pt>
                <c:pt idx="1">
                  <c:v>100</c:v>
                </c:pt>
                <c:pt idx="2">
                  <c:v>200</c:v>
                </c:pt>
                <c:pt idx="3">
                  <c:v>300</c:v>
                </c:pt>
                <c:pt idx="4">
                  <c:v>400</c:v>
                </c:pt>
                <c:pt idx="5">
                  <c:v>500</c:v>
                </c:pt>
              </c:numCache>
            </c:numRef>
          </c:xVal>
          <c:yVal>
            <c:numRef>
              <c:f>'Eb vs T'!$B$6:$B$11</c:f>
              <c:numCache>
                <c:formatCode>General</c:formatCode>
                <c:ptCount val="6"/>
                <c:pt idx="0">
                  <c:v>200</c:v>
                </c:pt>
                <c:pt idx="1">
                  <c:v>194</c:v>
                </c:pt>
                <c:pt idx="2">
                  <c:v>186</c:v>
                </c:pt>
                <c:pt idx="3">
                  <c:v>179</c:v>
                </c:pt>
                <c:pt idx="4">
                  <c:v>172</c:v>
                </c:pt>
                <c:pt idx="5">
                  <c:v>165</c:v>
                </c:pt>
              </c:numCache>
            </c:numRef>
          </c:yVal>
          <c:smooth val="0"/>
          <c:extLst>
            <c:ext xmlns:c16="http://schemas.microsoft.com/office/drawing/2014/chart" uri="{C3380CC4-5D6E-409C-BE32-E72D297353CC}">
              <c16:uniqueId val="{00000000-F0A8-486A-BC7A-7D5E0BFDCB7A}"/>
            </c:ext>
          </c:extLst>
        </c:ser>
        <c:dLbls>
          <c:showLegendKey val="0"/>
          <c:showVal val="0"/>
          <c:showCatName val="0"/>
          <c:showSerName val="0"/>
          <c:showPercent val="0"/>
          <c:showBubbleSize val="0"/>
        </c:dLbls>
        <c:axId val="433847632"/>
        <c:axId val="433840576"/>
      </c:scatterChart>
      <c:valAx>
        <c:axId val="433847632"/>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840576"/>
        <c:crosses val="autoZero"/>
        <c:crossBetween val="midCat"/>
      </c:valAx>
      <c:valAx>
        <c:axId val="433840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Elastic Modulus (GPa)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8476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11</xdr:col>
      <xdr:colOff>113524</xdr:colOff>
      <xdr:row>27</xdr:row>
      <xdr:rowOff>142571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2895600"/>
          <a:ext cx="6209524" cy="2428571"/>
        </a:xfrm>
        <a:prstGeom prst="rect">
          <a:avLst/>
        </a:prstGeom>
      </xdr:spPr>
    </xdr:pic>
    <xdr:clientData/>
  </xdr:twoCellAnchor>
  <xdr:twoCellAnchor editAs="oneCell">
    <xdr:from>
      <xdr:col>1</xdr:col>
      <xdr:colOff>0</xdr:colOff>
      <xdr:row>57</xdr:row>
      <xdr:rowOff>95250</xdr:rowOff>
    </xdr:from>
    <xdr:to>
      <xdr:col>11</xdr:col>
      <xdr:colOff>484952</xdr:colOff>
      <xdr:row>88</xdr:row>
      <xdr:rowOff>161179</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6419850"/>
          <a:ext cx="6580952" cy="5971429"/>
        </a:xfrm>
        <a:prstGeom prst="rect">
          <a:avLst/>
        </a:prstGeom>
      </xdr:spPr>
    </xdr:pic>
    <xdr:clientData/>
  </xdr:twoCellAnchor>
  <xdr:twoCellAnchor editAs="oneCell">
    <xdr:from>
      <xdr:col>0</xdr:col>
      <xdr:colOff>571500</xdr:colOff>
      <xdr:row>95</xdr:row>
      <xdr:rowOff>9525</xdr:rowOff>
    </xdr:from>
    <xdr:to>
      <xdr:col>12</xdr:col>
      <xdr:colOff>446776</xdr:colOff>
      <xdr:row>117</xdr:row>
      <xdr:rowOff>104239</xdr:rowOff>
    </xdr:to>
    <xdr:pic>
      <xdr:nvPicPr>
        <xdr:cNvPr id="4" name="Picture 3"/>
        <xdr:cNvPicPr>
          <a:picLocks noChangeAspect="1"/>
        </xdr:cNvPicPr>
      </xdr:nvPicPr>
      <xdr:blipFill>
        <a:blip xmlns:r="http://schemas.openxmlformats.org/officeDocument/2006/relationships" r:embed="rId3"/>
        <a:stretch>
          <a:fillRect/>
        </a:stretch>
      </xdr:blipFill>
      <xdr:spPr>
        <a:xfrm>
          <a:off x="571500" y="14144625"/>
          <a:ext cx="7190476" cy="4285714"/>
        </a:xfrm>
        <a:prstGeom prst="rect">
          <a:avLst/>
        </a:prstGeom>
      </xdr:spPr>
    </xdr:pic>
    <xdr:clientData/>
  </xdr:twoCellAnchor>
  <xdr:twoCellAnchor editAs="oneCell">
    <xdr:from>
      <xdr:col>1</xdr:col>
      <xdr:colOff>0</xdr:colOff>
      <xdr:row>122</xdr:row>
      <xdr:rowOff>0</xdr:rowOff>
    </xdr:from>
    <xdr:to>
      <xdr:col>14</xdr:col>
      <xdr:colOff>189486</xdr:colOff>
      <xdr:row>164</xdr:row>
      <xdr:rowOff>122809</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19278600"/>
          <a:ext cx="8114286" cy="8123809"/>
        </a:xfrm>
        <a:prstGeom prst="rect">
          <a:avLst/>
        </a:prstGeom>
      </xdr:spPr>
    </xdr:pic>
    <xdr:clientData/>
  </xdr:twoCellAnchor>
  <xdr:twoCellAnchor editAs="oneCell">
    <xdr:from>
      <xdr:col>11</xdr:col>
      <xdr:colOff>552450</xdr:colOff>
      <xdr:row>19</xdr:row>
      <xdr:rowOff>104775</xdr:rowOff>
    </xdr:from>
    <xdr:to>
      <xdr:col>18</xdr:col>
      <xdr:colOff>381000</xdr:colOff>
      <xdr:row>28</xdr:row>
      <xdr:rowOff>56777</xdr:rowOff>
    </xdr:to>
    <xdr:pic>
      <xdr:nvPicPr>
        <xdr:cNvPr id="6" name="Picture 5"/>
        <xdr:cNvPicPr>
          <a:picLocks noChangeAspect="1"/>
        </xdr:cNvPicPr>
      </xdr:nvPicPr>
      <xdr:blipFill>
        <a:blip xmlns:r="http://schemas.openxmlformats.org/officeDocument/2006/relationships" r:embed="rId5"/>
        <a:stretch>
          <a:fillRect/>
        </a:stretch>
      </xdr:blipFill>
      <xdr:spPr>
        <a:xfrm>
          <a:off x="7258050" y="4333875"/>
          <a:ext cx="4095750" cy="1666502"/>
        </a:xfrm>
        <a:prstGeom prst="rect">
          <a:avLst/>
        </a:prstGeom>
      </xdr:spPr>
    </xdr:pic>
    <xdr:clientData/>
  </xdr:twoCellAnchor>
  <xdr:twoCellAnchor editAs="oneCell">
    <xdr:from>
      <xdr:col>12</xdr:col>
      <xdr:colOff>9525</xdr:colOff>
      <xdr:row>9</xdr:row>
      <xdr:rowOff>173161</xdr:rowOff>
    </xdr:from>
    <xdr:to>
      <xdr:col>18</xdr:col>
      <xdr:colOff>390525</xdr:colOff>
      <xdr:row>18</xdr:row>
      <xdr:rowOff>38448</xdr:rowOff>
    </xdr:to>
    <xdr:pic>
      <xdr:nvPicPr>
        <xdr:cNvPr id="7" name="Picture 6"/>
        <xdr:cNvPicPr>
          <a:picLocks noChangeAspect="1"/>
        </xdr:cNvPicPr>
      </xdr:nvPicPr>
      <xdr:blipFill>
        <a:blip xmlns:r="http://schemas.openxmlformats.org/officeDocument/2006/relationships" r:embed="rId6"/>
        <a:stretch>
          <a:fillRect/>
        </a:stretch>
      </xdr:blipFill>
      <xdr:spPr>
        <a:xfrm>
          <a:off x="7324725" y="2497261"/>
          <a:ext cx="4038600" cy="1579787"/>
        </a:xfrm>
        <a:prstGeom prst="rect">
          <a:avLst/>
        </a:prstGeom>
      </xdr:spPr>
    </xdr:pic>
    <xdr:clientData/>
  </xdr:twoCellAnchor>
  <xdr:twoCellAnchor editAs="oneCell">
    <xdr:from>
      <xdr:col>18</xdr:col>
      <xdr:colOff>533399</xdr:colOff>
      <xdr:row>10</xdr:row>
      <xdr:rowOff>0</xdr:rowOff>
    </xdr:from>
    <xdr:to>
      <xdr:col>25</xdr:col>
      <xdr:colOff>267826</xdr:colOff>
      <xdr:row>27</xdr:row>
      <xdr:rowOff>142875</xdr:rowOff>
    </xdr:to>
    <xdr:pic>
      <xdr:nvPicPr>
        <xdr:cNvPr id="8" name="Picture 7" descr="Formed Bellows -Standard Cuffs"/>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506199" y="2514600"/>
          <a:ext cx="4001627"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xdr:row>
      <xdr:rowOff>0</xdr:rowOff>
    </xdr:from>
    <xdr:to>
      <xdr:col>12</xdr:col>
      <xdr:colOff>95250</xdr:colOff>
      <xdr:row>47</xdr:row>
      <xdr:rowOff>139255</xdr:rowOff>
    </xdr:to>
    <xdr:pic>
      <xdr:nvPicPr>
        <xdr:cNvPr id="9" name="Picture 8"/>
        <xdr:cNvPicPr>
          <a:picLocks noChangeAspect="1"/>
        </xdr:cNvPicPr>
      </xdr:nvPicPr>
      <xdr:blipFill>
        <a:blip xmlns:r="http://schemas.openxmlformats.org/officeDocument/2006/relationships" r:embed="rId8"/>
        <a:stretch>
          <a:fillRect/>
        </a:stretch>
      </xdr:blipFill>
      <xdr:spPr>
        <a:xfrm>
          <a:off x="609600" y="6324600"/>
          <a:ext cx="6800850" cy="3377755"/>
        </a:xfrm>
        <a:prstGeom prst="rect">
          <a:avLst/>
        </a:prstGeom>
      </xdr:spPr>
    </xdr:pic>
    <xdr:clientData/>
  </xdr:twoCellAnchor>
  <xdr:twoCellAnchor editAs="oneCell">
    <xdr:from>
      <xdr:col>0</xdr:col>
      <xdr:colOff>571500</xdr:colOff>
      <xdr:row>47</xdr:row>
      <xdr:rowOff>142875</xdr:rowOff>
    </xdr:from>
    <xdr:to>
      <xdr:col>12</xdr:col>
      <xdr:colOff>87264</xdr:colOff>
      <xdr:row>50</xdr:row>
      <xdr:rowOff>104775</xdr:rowOff>
    </xdr:to>
    <xdr:pic>
      <xdr:nvPicPr>
        <xdr:cNvPr id="10" name="Picture 9"/>
        <xdr:cNvPicPr>
          <a:picLocks noChangeAspect="1"/>
        </xdr:cNvPicPr>
      </xdr:nvPicPr>
      <xdr:blipFill>
        <a:blip xmlns:r="http://schemas.openxmlformats.org/officeDocument/2006/relationships" r:embed="rId9"/>
        <a:stretch>
          <a:fillRect/>
        </a:stretch>
      </xdr:blipFill>
      <xdr:spPr>
        <a:xfrm>
          <a:off x="571500" y="9705975"/>
          <a:ext cx="6830964" cy="533400"/>
        </a:xfrm>
        <a:prstGeom prst="rect">
          <a:avLst/>
        </a:prstGeom>
      </xdr:spPr>
    </xdr:pic>
    <xdr:clientData/>
  </xdr:twoCellAnchor>
  <xdr:twoCellAnchor editAs="oneCell">
    <xdr:from>
      <xdr:col>13</xdr:col>
      <xdr:colOff>295275</xdr:colOff>
      <xdr:row>52</xdr:row>
      <xdr:rowOff>95250</xdr:rowOff>
    </xdr:from>
    <xdr:to>
      <xdr:col>22</xdr:col>
      <xdr:colOff>542208</xdr:colOff>
      <xdr:row>93</xdr:row>
      <xdr:rowOff>122845</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8220075" y="10610850"/>
          <a:ext cx="5733333" cy="7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257175</xdr:colOff>
      <xdr:row>0</xdr:row>
      <xdr:rowOff>133350</xdr:rowOff>
    </xdr:from>
    <xdr:to>
      <xdr:col>20</xdr:col>
      <xdr:colOff>589948</xdr:colOff>
      <xdr:row>13</xdr:row>
      <xdr:rowOff>75879</xdr:rowOff>
    </xdr:to>
    <xdr:pic>
      <xdr:nvPicPr>
        <xdr:cNvPr id="2" name="Picture 1"/>
        <xdr:cNvPicPr>
          <a:picLocks noChangeAspect="1"/>
        </xdr:cNvPicPr>
      </xdr:nvPicPr>
      <xdr:blipFill>
        <a:blip xmlns:r="http://schemas.openxmlformats.org/officeDocument/2006/relationships" r:embed="rId1"/>
        <a:stretch>
          <a:fillRect/>
        </a:stretch>
      </xdr:blipFill>
      <xdr:spPr>
        <a:xfrm>
          <a:off x="10772775" y="133350"/>
          <a:ext cx="4819048" cy="2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297180</xdr:colOff>
      <xdr:row>1</xdr:row>
      <xdr:rowOff>156210</xdr:rowOff>
    </xdr:from>
    <xdr:to>
      <xdr:col>12</xdr:col>
      <xdr:colOff>601980</xdr:colOff>
      <xdr:row>16</xdr:row>
      <xdr:rowOff>156210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18209</xdr:colOff>
      <xdr:row>49</xdr:row>
      <xdr:rowOff>134118</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6723809" cy="90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151619</xdr:colOff>
      <xdr:row>50</xdr:row>
      <xdr:rowOff>94095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247619" cy="92380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542095</xdr:colOff>
      <xdr:row>49</xdr:row>
      <xdr:rowOff>115070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638095" cy="9076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369981</xdr:colOff>
      <xdr:row>45</xdr:row>
      <xdr:rowOff>113257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1952381" cy="83428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hyspan.com/2500RoundedEj.html" TargetMode="External"/><Relationship Id="rId1" Type="http://schemas.openxmlformats.org/officeDocument/2006/relationships/hyperlink" Target="https://highvacco.com/products/cf-flanges-fittings/cf-flanges-adaptors/cf-flanges-to-stainless-bellows/"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tabSelected="1" topLeftCell="A4" workbookViewId="0">
      <selection activeCell="B40" sqref="B40"/>
    </sheetView>
  </sheetViews>
  <sheetFormatPr defaultRowHeight="14.4" x14ac:dyDescent="0.3"/>
  <cols>
    <col min="3" max="3" width="7.6640625" customWidth="1"/>
    <col min="4" max="4" width="59.5546875" customWidth="1"/>
    <col min="11" max="11" width="11.88671875" customWidth="1"/>
    <col min="15" max="15" width="19.5546875" customWidth="1"/>
  </cols>
  <sheetData>
    <row r="1" spans="1:4" x14ac:dyDescent="0.3">
      <c r="A1" s="18" t="s">
        <v>220</v>
      </c>
      <c r="B1" s="12"/>
    </row>
    <row r="2" spans="1:4" x14ac:dyDescent="0.3">
      <c r="A2" s="18"/>
      <c r="B2" s="10">
        <v>1</v>
      </c>
      <c r="C2" s="33" t="s">
        <v>182</v>
      </c>
      <c r="D2" t="s">
        <v>213</v>
      </c>
    </row>
    <row r="3" spans="1:4" x14ac:dyDescent="0.3">
      <c r="B3" s="10">
        <v>3</v>
      </c>
      <c r="C3" s="33" t="s">
        <v>182</v>
      </c>
      <c r="D3" t="s">
        <v>183</v>
      </c>
    </row>
    <row r="4" spans="1:4" x14ac:dyDescent="0.3">
      <c r="B4">
        <f>B3*20</f>
        <v>60</v>
      </c>
      <c r="C4" t="s">
        <v>179</v>
      </c>
      <c r="D4" t="s">
        <v>184</v>
      </c>
    </row>
    <row r="5" spans="1:4" x14ac:dyDescent="0.3">
      <c r="B5" s="10">
        <v>2</v>
      </c>
      <c r="C5" s="33" t="s">
        <v>182</v>
      </c>
      <c r="D5" t="s">
        <v>207</v>
      </c>
    </row>
    <row r="6" spans="1:4" x14ac:dyDescent="0.3">
      <c r="B6" s="10">
        <v>14</v>
      </c>
      <c r="C6" s="33" t="s">
        <v>117</v>
      </c>
      <c r="D6" t="s">
        <v>208</v>
      </c>
    </row>
    <row r="7" spans="1:4" x14ac:dyDescent="0.3">
      <c r="B7">
        <f>B4*12+B5*B6</f>
        <v>748</v>
      </c>
      <c r="C7" t="s">
        <v>117</v>
      </c>
      <c r="D7" t="s">
        <v>209</v>
      </c>
    </row>
    <row r="8" spans="1:4" x14ac:dyDescent="0.3">
      <c r="B8" s="10">
        <v>304</v>
      </c>
      <c r="C8" s="33" t="s">
        <v>182</v>
      </c>
      <c r="D8" t="s">
        <v>221</v>
      </c>
    </row>
    <row r="9" spans="1:4" x14ac:dyDescent="0.3">
      <c r="B9">
        <v>0</v>
      </c>
      <c r="C9" t="s">
        <v>180</v>
      </c>
      <c r="D9" t="s">
        <v>210</v>
      </c>
    </row>
    <row r="10" spans="1:4" x14ac:dyDescent="0.3">
      <c r="B10" s="12">
        <v>9.9000000000000001E-6</v>
      </c>
      <c r="C10" t="s">
        <v>177</v>
      </c>
      <c r="D10" t="s">
        <v>181</v>
      </c>
    </row>
    <row r="11" spans="1:4" x14ac:dyDescent="0.3">
      <c r="B11" s="12">
        <v>1.73E-5</v>
      </c>
      <c r="C11" t="s">
        <v>178</v>
      </c>
      <c r="D11" t="s">
        <v>181</v>
      </c>
    </row>
    <row r="12" spans="1:4" x14ac:dyDescent="0.3">
      <c r="B12" s="12"/>
    </row>
    <row r="13" spans="1:4" x14ac:dyDescent="0.3">
      <c r="A13" s="18" t="s">
        <v>222</v>
      </c>
      <c r="B13" s="12"/>
    </row>
    <row r="14" spans="1:4" x14ac:dyDescent="0.3">
      <c r="B14" s="38">
        <v>-30</v>
      </c>
      <c r="C14" t="s">
        <v>180</v>
      </c>
      <c r="D14" t="s">
        <v>223</v>
      </c>
    </row>
    <row r="15" spans="1:4" x14ac:dyDescent="0.3">
      <c r="B15" s="38">
        <v>-10</v>
      </c>
      <c r="C15" t="s">
        <v>180</v>
      </c>
      <c r="D15" t="s">
        <v>224</v>
      </c>
    </row>
    <row r="16" spans="1:4" x14ac:dyDescent="0.3">
      <c r="B16" s="2">
        <f>-B11*B7*(MIN(B14,B15)-B9)</f>
        <v>0.388212</v>
      </c>
      <c r="C16" t="s">
        <v>117</v>
      </c>
      <c r="D16" t="s">
        <v>225</v>
      </c>
    </row>
    <row r="17" spans="1:4" x14ac:dyDescent="0.3">
      <c r="B17" s="2"/>
    </row>
    <row r="18" spans="1:4" x14ac:dyDescent="0.3">
      <c r="A18" s="18" t="s">
        <v>233</v>
      </c>
      <c r="B18" s="2"/>
    </row>
    <row r="19" spans="1:4" x14ac:dyDescent="0.3">
      <c r="A19" s="18"/>
      <c r="B19" s="38">
        <v>48</v>
      </c>
      <c r="C19" t="s">
        <v>180</v>
      </c>
      <c r="D19" t="s">
        <v>234</v>
      </c>
    </row>
    <row r="20" spans="1:4" x14ac:dyDescent="0.3">
      <c r="A20" s="18"/>
      <c r="B20" s="38">
        <v>55</v>
      </c>
      <c r="C20" t="s">
        <v>180</v>
      </c>
      <c r="D20" t="s">
        <v>235</v>
      </c>
    </row>
    <row r="21" spans="1:4" x14ac:dyDescent="0.3">
      <c r="A21" s="18"/>
      <c r="B21" s="2">
        <f>-B11*B7*(MAX(B20,B19)-B9)</f>
        <v>-0.71172199999999997</v>
      </c>
      <c r="C21" t="s">
        <v>117</v>
      </c>
      <c r="D21" t="s">
        <v>236</v>
      </c>
    </row>
    <row r="23" spans="1:4" x14ac:dyDescent="0.3">
      <c r="A23" s="18" t="s">
        <v>232</v>
      </c>
    </row>
    <row r="24" spans="1:4" x14ac:dyDescent="0.3">
      <c r="B24">
        <v>200</v>
      </c>
      <c r="C24" t="s">
        <v>180</v>
      </c>
      <c r="D24" t="s">
        <v>185</v>
      </c>
    </row>
    <row r="25" spans="1:4" x14ac:dyDescent="0.3">
      <c r="B25" s="2">
        <f>-B11*B7*(B24-B9)</f>
        <v>-2.5880799999999997</v>
      </c>
      <c r="C25" t="s">
        <v>117</v>
      </c>
      <c r="D25" t="s">
        <v>219</v>
      </c>
    </row>
    <row r="26" spans="1:4" x14ac:dyDescent="0.3">
      <c r="B26" s="10"/>
      <c r="C26" s="33"/>
    </row>
    <row r="27" spans="1:4" x14ac:dyDescent="0.3">
      <c r="A27" s="18" t="s">
        <v>218</v>
      </c>
    </row>
    <row r="28" spans="1:4" x14ac:dyDescent="0.3">
      <c r="A28" s="39" t="s">
        <v>226</v>
      </c>
    </row>
    <row r="29" spans="1:4" x14ac:dyDescent="0.3">
      <c r="B29">
        <v>0.188</v>
      </c>
      <c r="C29" t="s">
        <v>117</v>
      </c>
      <c r="D29" s="33" t="s">
        <v>203</v>
      </c>
    </row>
    <row r="30" spans="1:4" x14ac:dyDescent="0.3">
      <c r="B30">
        <v>0</v>
      </c>
      <c r="C30" t="s">
        <v>117</v>
      </c>
      <c r="D30" s="33" t="s">
        <v>204</v>
      </c>
    </row>
    <row r="31" spans="1:4" x14ac:dyDescent="0.3">
      <c r="B31">
        <v>0.03</v>
      </c>
      <c r="C31" t="s">
        <v>117</v>
      </c>
      <c r="D31" s="33" t="s">
        <v>205</v>
      </c>
    </row>
    <row r="32" spans="1:4" x14ac:dyDescent="0.3">
      <c r="B32">
        <v>-0.03</v>
      </c>
      <c r="C32" t="s">
        <v>117</v>
      </c>
      <c r="D32" s="33" t="s">
        <v>206</v>
      </c>
    </row>
    <row r="33" spans="1:4" x14ac:dyDescent="0.3">
      <c r="B33">
        <v>0.03</v>
      </c>
      <c r="C33" t="s">
        <v>117</v>
      </c>
      <c r="D33" s="33" t="s">
        <v>211</v>
      </c>
    </row>
    <row r="34" spans="1:4" x14ac:dyDescent="0.3">
      <c r="B34">
        <v>-0.03</v>
      </c>
      <c r="C34" t="s">
        <v>117</v>
      </c>
      <c r="D34" s="33" t="s">
        <v>212</v>
      </c>
    </row>
    <row r="35" spans="1:4" x14ac:dyDescent="0.3">
      <c r="B35" s="2">
        <f>3/25.4</f>
        <v>0.11811023622047245</v>
      </c>
      <c r="C35" t="s">
        <v>117</v>
      </c>
      <c r="D35" s="33" t="s">
        <v>215</v>
      </c>
    </row>
    <row r="36" spans="1:4" x14ac:dyDescent="0.3">
      <c r="B36" s="2">
        <f>-3/25.4</f>
        <v>-0.11811023622047245</v>
      </c>
      <c r="C36" t="s">
        <v>117</v>
      </c>
      <c r="D36" s="33" t="s">
        <v>216</v>
      </c>
    </row>
    <row r="37" spans="1:4" x14ac:dyDescent="0.3">
      <c r="B37" s="2">
        <v>0.4</v>
      </c>
      <c r="C37" t="s">
        <v>117</v>
      </c>
      <c r="D37" s="33" t="s">
        <v>307</v>
      </c>
    </row>
    <row r="38" spans="1:4" x14ac:dyDescent="0.3">
      <c r="B38" s="2">
        <f>-1*(B3*B29+B5*B31+B33+B35)</f>
        <v>-0.77211023622047259</v>
      </c>
      <c r="C38" t="s">
        <v>117</v>
      </c>
      <c r="D38" t="s">
        <v>214</v>
      </c>
    </row>
    <row r="39" spans="1:4" x14ac:dyDescent="0.3">
      <c r="B39" s="2">
        <f>-1*(B3*B30+B5*B32+B34+B36)+B37</f>
        <v>0.60811023622047244</v>
      </c>
      <c r="C39" t="s">
        <v>117</v>
      </c>
      <c r="D39" t="s">
        <v>217</v>
      </c>
    </row>
    <row r="40" spans="1:4" x14ac:dyDescent="0.3">
      <c r="A40" s="39" t="s">
        <v>228</v>
      </c>
    </row>
    <row r="41" spans="1:4" x14ac:dyDescent="0.3">
      <c r="B41" s="16">
        <f>ATAN(0.01/10)*1000</f>
        <v>0.99999966666686679</v>
      </c>
      <c r="C41" t="s">
        <v>237</v>
      </c>
      <c r="D41" s="33" t="s">
        <v>231</v>
      </c>
    </row>
    <row r="42" spans="1:4" x14ac:dyDescent="0.3">
      <c r="B42" s="16">
        <f>ATAN(0.01/10)*1000</f>
        <v>0.99999966666686679</v>
      </c>
      <c r="C42" t="s">
        <v>237</v>
      </c>
      <c r="D42" s="33" t="s">
        <v>230</v>
      </c>
    </row>
    <row r="43" spans="1:4" x14ac:dyDescent="0.3">
      <c r="B43" s="16">
        <v>5</v>
      </c>
      <c r="C43" t="s">
        <v>237</v>
      </c>
      <c r="D43" s="33" t="s">
        <v>297</v>
      </c>
    </row>
    <row r="44" spans="1:4" x14ac:dyDescent="0.3">
      <c r="A44" s="39" t="s">
        <v>227</v>
      </c>
    </row>
    <row r="45" spans="1:4" x14ac:dyDescent="0.3">
      <c r="B45" s="2">
        <f>1/16</f>
        <v>6.25E-2</v>
      </c>
      <c r="C45" t="s">
        <v>117</v>
      </c>
      <c r="D45" s="33" t="s">
        <v>286</v>
      </c>
    </row>
    <row r="46" spans="1:4" x14ac:dyDescent="0.3">
      <c r="B46" s="2">
        <f>1/16</f>
        <v>6.25E-2</v>
      </c>
      <c r="C46" t="s">
        <v>117</v>
      </c>
      <c r="D46" s="33" t="s">
        <v>287</v>
      </c>
    </row>
    <row r="47" spans="1:4" x14ac:dyDescent="0.3">
      <c r="B47" s="2">
        <f>3/25.4</f>
        <v>0.11811023622047245</v>
      </c>
      <c r="C47" t="s">
        <v>117</v>
      </c>
      <c r="D47" s="33" t="s">
        <v>288</v>
      </c>
    </row>
    <row r="48" spans="1:4" x14ac:dyDescent="0.3">
      <c r="B48" s="2">
        <f>O65</f>
        <v>0.39999932000012994</v>
      </c>
      <c r="C48" t="s">
        <v>117</v>
      </c>
      <c r="D48" s="33" t="s">
        <v>298</v>
      </c>
    </row>
    <row r="49" spans="1:15" x14ac:dyDescent="0.3">
      <c r="B49" s="2">
        <f>B3*B45+B5*B46+B47+B48</f>
        <v>0.8306095562206024</v>
      </c>
      <c r="C49" t="s">
        <v>117</v>
      </c>
      <c r="D49" s="33" t="s">
        <v>229</v>
      </c>
    </row>
    <row r="50" spans="1:15" x14ac:dyDescent="0.3">
      <c r="A50" s="18" t="s">
        <v>238</v>
      </c>
    </row>
    <row r="51" spans="1:15" x14ac:dyDescent="0.3">
      <c r="B51" s="2">
        <f>B25+B38</f>
        <v>-3.3601902362204723</v>
      </c>
      <c r="C51" t="s">
        <v>117</v>
      </c>
      <c r="D51" t="s">
        <v>242</v>
      </c>
      <c r="E51" s="13"/>
    </row>
    <row r="52" spans="1:15" x14ac:dyDescent="0.3">
      <c r="B52" s="2">
        <f>B21+B38</f>
        <v>-1.4838322362204726</v>
      </c>
      <c r="C52" t="s">
        <v>117</v>
      </c>
      <c r="D52" t="s">
        <v>243</v>
      </c>
      <c r="E52" s="13"/>
    </row>
    <row r="53" spans="1:15" x14ac:dyDescent="0.3">
      <c r="B53" s="2">
        <f>B16+B39</f>
        <v>0.99632223622047245</v>
      </c>
      <c r="C53" t="s">
        <v>117</v>
      </c>
      <c r="D53" t="s">
        <v>239</v>
      </c>
    </row>
    <row r="54" spans="1:15" x14ac:dyDescent="0.3">
      <c r="B54" s="2">
        <f>B49</f>
        <v>0.8306095562206024</v>
      </c>
      <c r="C54" t="s">
        <v>117</v>
      </c>
      <c r="D54" t="s">
        <v>240</v>
      </c>
    </row>
    <row r="55" spans="1:15" ht="28.8" x14ac:dyDescent="0.3">
      <c r="B55" s="16">
        <f>B43</f>
        <v>5</v>
      </c>
      <c r="C55" t="s">
        <v>237</v>
      </c>
      <c r="D55" s="1" t="s">
        <v>241</v>
      </c>
      <c r="M55" s="40" t="s">
        <v>237</v>
      </c>
      <c r="N55" s="40" t="s">
        <v>296</v>
      </c>
      <c r="O55" s="42" t="s">
        <v>299</v>
      </c>
    </row>
    <row r="56" spans="1:15" x14ac:dyDescent="0.3">
      <c r="K56" s="40" t="s">
        <v>289</v>
      </c>
      <c r="L56" s="40" t="s">
        <v>290</v>
      </c>
      <c r="M56" s="40">
        <v>1</v>
      </c>
      <c r="N56" s="40">
        <v>0</v>
      </c>
      <c r="O56" s="41"/>
    </row>
    <row r="57" spans="1:15" x14ac:dyDescent="0.3">
      <c r="K57" s="40"/>
      <c r="L57" s="40" t="s">
        <v>291</v>
      </c>
      <c r="M57" s="40">
        <v>1</v>
      </c>
      <c r="N57" s="40">
        <f>SIN(M57/1000)*20*12</f>
        <v>0.23999996000000198</v>
      </c>
      <c r="O57" s="41">
        <f>N57-0.16</f>
        <v>7.9999960000001979E-2</v>
      </c>
    </row>
    <row r="58" spans="1:15" x14ac:dyDescent="0.3">
      <c r="K58" s="40" t="s">
        <v>293</v>
      </c>
      <c r="L58" s="40" t="s">
        <v>290</v>
      </c>
      <c r="M58" s="40">
        <v>2</v>
      </c>
      <c r="N58" s="40">
        <f>N57</f>
        <v>0.23999996000000198</v>
      </c>
      <c r="O58" s="41"/>
    </row>
    <row r="59" spans="1:15" x14ac:dyDescent="0.3">
      <c r="K59" s="40"/>
      <c r="L59" s="40" t="s">
        <v>291</v>
      </c>
      <c r="M59" s="40">
        <v>2</v>
      </c>
      <c r="N59" s="40">
        <f>N58</f>
        <v>0.23999996000000198</v>
      </c>
      <c r="O59" s="41"/>
    </row>
    <row r="60" spans="1:15" x14ac:dyDescent="0.3">
      <c r="K60" s="40" t="s">
        <v>292</v>
      </c>
      <c r="L60" s="40" t="s">
        <v>290</v>
      </c>
      <c r="M60" s="40">
        <v>3</v>
      </c>
      <c r="N60" s="40">
        <f>N59</f>
        <v>0.23999996000000198</v>
      </c>
      <c r="O60" s="41"/>
    </row>
    <row r="61" spans="1:15" x14ac:dyDescent="0.3">
      <c r="K61" s="40"/>
      <c r="L61" s="40" t="s">
        <v>291</v>
      </c>
      <c r="M61" s="40">
        <v>3</v>
      </c>
      <c r="N61" s="40">
        <f>SIN(M61/1000)*20*12+N60</f>
        <v>0.95999888000048794</v>
      </c>
      <c r="O61" s="41">
        <f>SIN(2/1000)*20*12-2*0.16+O57</f>
        <v>0.23999964000006596</v>
      </c>
    </row>
    <row r="62" spans="1:15" x14ac:dyDescent="0.3">
      <c r="K62" s="40" t="s">
        <v>294</v>
      </c>
      <c r="L62" s="40" t="s">
        <v>290</v>
      </c>
      <c r="M62" s="40">
        <v>4</v>
      </c>
      <c r="N62" s="40">
        <f>N61</f>
        <v>0.95999888000048794</v>
      </c>
      <c r="O62" s="41"/>
    </row>
    <row r="63" spans="1:15" x14ac:dyDescent="0.3">
      <c r="K63" s="40"/>
      <c r="L63" s="40" t="s">
        <v>291</v>
      </c>
      <c r="M63" s="40">
        <v>4</v>
      </c>
      <c r="N63" s="40">
        <f>N62</f>
        <v>0.95999888000048794</v>
      </c>
      <c r="O63" s="41"/>
    </row>
    <row r="64" spans="1:15" x14ac:dyDescent="0.3">
      <c r="K64" s="40" t="s">
        <v>295</v>
      </c>
      <c r="L64" s="40" t="s">
        <v>290</v>
      </c>
      <c r="M64" s="40">
        <v>5</v>
      </c>
      <c r="N64" s="40">
        <f>N63</f>
        <v>0.95999888000048794</v>
      </c>
      <c r="O64" s="41"/>
    </row>
    <row r="65" spans="11:15" x14ac:dyDescent="0.3">
      <c r="K65" s="40"/>
      <c r="L65" s="40" t="s">
        <v>291</v>
      </c>
      <c r="M65" s="40">
        <v>5</v>
      </c>
      <c r="N65" s="40">
        <f>SIN(M65/1000)*20*12+N64</f>
        <v>2.1599938800067378</v>
      </c>
      <c r="O65" s="41">
        <f>SIN(2/1000)*20*12-2*0.16+O61</f>
        <v>0.39999932000012994</v>
      </c>
    </row>
    <row r="66" spans="11:15" x14ac:dyDescent="0.3">
      <c r="O66" s="2"/>
    </row>
  </sheetData>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21"/>
  <sheetViews>
    <sheetView zoomScaleNormal="100" workbookViewId="0">
      <selection activeCell="O49" sqref="O49"/>
    </sheetView>
  </sheetViews>
  <sheetFormatPr defaultRowHeight="14.4" x14ac:dyDescent="0.3"/>
  <sheetData>
    <row r="2" spans="1:11" x14ac:dyDescent="0.3">
      <c r="A2" t="s">
        <v>154</v>
      </c>
    </row>
    <row r="3" spans="1:11" ht="63" customHeight="1" x14ac:dyDescent="0.3">
      <c r="B3" s="47" t="s">
        <v>155</v>
      </c>
      <c r="C3" s="47"/>
      <c r="D3" s="47"/>
      <c r="E3" s="47"/>
      <c r="F3" s="47"/>
      <c r="G3" s="47"/>
      <c r="H3" s="47"/>
      <c r="I3" s="47"/>
      <c r="J3" s="47"/>
      <c r="K3" s="47"/>
    </row>
    <row r="4" spans="1:11" x14ac:dyDescent="0.3">
      <c r="B4" t="s">
        <v>156</v>
      </c>
    </row>
    <row r="5" spans="1:11" x14ac:dyDescent="0.3">
      <c r="B5" t="s">
        <v>157</v>
      </c>
    </row>
    <row r="6" spans="1:11" x14ac:dyDescent="0.3">
      <c r="B6" t="s">
        <v>158</v>
      </c>
    </row>
    <row r="7" spans="1:11" x14ac:dyDescent="0.3">
      <c r="B7" t="s">
        <v>159</v>
      </c>
    </row>
    <row r="8" spans="1:11" x14ac:dyDescent="0.3">
      <c r="B8" t="s">
        <v>160</v>
      </c>
    </row>
    <row r="9" spans="1:11" x14ac:dyDescent="0.3">
      <c r="B9">
        <f>1.12+2+15.26+0.5+1.12</f>
        <v>20</v>
      </c>
      <c r="C9" t="s">
        <v>117</v>
      </c>
      <c r="D9" t="s">
        <v>164</v>
      </c>
    </row>
    <row r="12" spans="1:11" x14ac:dyDescent="0.3">
      <c r="A12" t="s">
        <v>161</v>
      </c>
    </row>
    <row r="13" spans="1:11" x14ac:dyDescent="0.3">
      <c r="B13" t="s">
        <v>168</v>
      </c>
    </row>
    <row r="14" spans="1:11" x14ac:dyDescent="0.3">
      <c r="B14" t="s">
        <v>169</v>
      </c>
    </row>
    <row r="30" spans="1:1" x14ac:dyDescent="0.3">
      <c r="A30" t="s">
        <v>260</v>
      </c>
    </row>
    <row r="45" spans="15:15" x14ac:dyDescent="0.3">
      <c r="O45">
        <v>-3.36</v>
      </c>
    </row>
    <row r="46" spans="15:15" x14ac:dyDescent="0.3">
      <c r="O46">
        <v>0.59599999999999997</v>
      </c>
    </row>
    <row r="48" spans="15:15" x14ac:dyDescent="0.3">
      <c r="O48">
        <f>2/6</f>
        <v>0.33333333333333331</v>
      </c>
    </row>
    <row r="49" spans="1:15" x14ac:dyDescent="0.3">
      <c r="O49">
        <f>O45/O48</f>
        <v>-10.08</v>
      </c>
    </row>
    <row r="50" spans="1:15" x14ac:dyDescent="0.3">
      <c r="O50">
        <f>O46/O48</f>
        <v>1.788</v>
      </c>
    </row>
    <row r="53" spans="1:15" x14ac:dyDescent="0.3">
      <c r="A53" t="s">
        <v>162</v>
      </c>
    </row>
    <row r="54" spans="1:15" x14ac:dyDescent="0.3">
      <c r="B54" t="s">
        <v>163</v>
      </c>
    </row>
    <row r="55" spans="1:15" x14ac:dyDescent="0.3">
      <c r="B55" t="s">
        <v>165</v>
      </c>
    </row>
    <row r="56" spans="1:15" x14ac:dyDescent="0.3">
      <c r="B56" t="s">
        <v>166</v>
      </c>
      <c r="F56" s="17" t="s">
        <v>176</v>
      </c>
    </row>
    <row r="57" spans="1:15" x14ac:dyDescent="0.3">
      <c r="B57" t="s">
        <v>167</v>
      </c>
    </row>
    <row r="91" spans="1:2" x14ac:dyDescent="0.3">
      <c r="A91" t="s">
        <v>170</v>
      </c>
    </row>
    <row r="92" spans="1:2" x14ac:dyDescent="0.3">
      <c r="B92" t="s">
        <v>171</v>
      </c>
    </row>
    <row r="93" spans="1:2" x14ac:dyDescent="0.3">
      <c r="B93" t="s">
        <v>172</v>
      </c>
    </row>
    <row r="119" spans="1:2" x14ac:dyDescent="0.3">
      <c r="A119" t="s">
        <v>173</v>
      </c>
    </row>
    <row r="120" spans="1:2" x14ac:dyDescent="0.3">
      <c r="B120" s="17" t="s">
        <v>174</v>
      </c>
    </row>
    <row r="121" spans="1:2" x14ac:dyDescent="0.3">
      <c r="B121" t="s">
        <v>175</v>
      </c>
    </row>
  </sheetData>
  <mergeCells count="1">
    <mergeCell ref="B3:K3"/>
  </mergeCells>
  <hyperlinks>
    <hyperlink ref="B120" r:id="rId1"/>
    <hyperlink ref="F56" r:id="rId2"/>
  </hyperlinks>
  <pageMargins left="0.7" right="0.7" top="0.75" bottom="0.75" header="0.3" footer="0.3"/>
  <pageSetup orientation="portrait" horizontalDpi="4294967295" verticalDpi="4294967295"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0"/>
  <sheetViews>
    <sheetView workbookViewId="0">
      <selection activeCell="H26" sqref="H26"/>
    </sheetView>
  </sheetViews>
  <sheetFormatPr defaultRowHeight="14.4" x14ac:dyDescent="0.3"/>
  <cols>
    <col min="2" max="2" width="5.5546875" customWidth="1"/>
  </cols>
  <sheetData>
    <row r="3" spans="1:4" x14ac:dyDescent="0.3">
      <c r="A3">
        <v>10</v>
      </c>
      <c r="B3" t="s">
        <v>117</v>
      </c>
      <c r="C3" t="s">
        <v>261</v>
      </c>
      <c r="D3" t="s">
        <v>271</v>
      </c>
    </row>
    <row r="4" spans="1:4" x14ac:dyDescent="0.3">
      <c r="A4">
        <f>4*A3</f>
        <v>40</v>
      </c>
      <c r="B4" t="s">
        <v>117</v>
      </c>
      <c r="C4" t="s">
        <v>262</v>
      </c>
      <c r="D4" t="s">
        <v>264</v>
      </c>
    </row>
    <row r="5" spans="1:4" x14ac:dyDescent="0.3">
      <c r="A5" s="16">
        <f>A4/12</f>
        <v>3.3333333333333335</v>
      </c>
      <c r="B5" t="s">
        <v>179</v>
      </c>
      <c r="C5" t="s">
        <v>262</v>
      </c>
      <c r="D5" t="s">
        <v>264</v>
      </c>
    </row>
    <row r="6" spans="1:4" x14ac:dyDescent="0.3">
      <c r="A6">
        <f>14*A3</f>
        <v>140</v>
      </c>
      <c r="B6" t="s">
        <v>117</v>
      </c>
      <c r="C6" t="s">
        <v>263</v>
      </c>
      <c r="D6" t="s">
        <v>265</v>
      </c>
    </row>
    <row r="7" spans="1:4" x14ac:dyDescent="0.3">
      <c r="A7" s="16">
        <f>A6/12</f>
        <v>11.666666666666666</v>
      </c>
      <c r="B7" t="s">
        <v>179</v>
      </c>
      <c r="C7" t="s">
        <v>263</v>
      </c>
      <c r="D7" t="s">
        <v>265</v>
      </c>
    </row>
    <row r="9" spans="1:4" x14ac:dyDescent="0.3">
      <c r="A9">
        <v>0.25</v>
      </c>
      <c r="B9" t="s">
        <v>117</v>
      </c>
      <c r="C9" t="s">
        <v>44</v>
      </c>
      <c r="D9" t="s">
        <v>269</v>
      </c>
    </row>
    <row r="10" spans="1:4" x14ac:dyDescent="0.3">
      <c r="A10">
        <f>A3-2*A9</f>
        <v>9.5</v>
      </c>
      <c r="B10" t="s">
        <v>117</v>
      </c>
      <c r="C10" t="s">
        <v>272</v>
      </c>
      <c r="D10" t="s">
        <v>273</v>
      </c>
    </row>
    <row r="11" spans="1:4" x14ac:dyDescent="0.3">
      <c r="A11" s="12">
        <v>28000000</v>
      </c>
      <c r="B11" t="s">
        <v>14</v>
      </c>
      <c r="C11" t="s">
        <v>267</v>
      </c>
      <c r="D11" t="s">
        <v>270</v>
      </c>
    </row>
    <row r="12" spans="1:4" x14ac:dyDescent="0.3">
      <c r="A12">
        <f>PI()*(A3^4-A10^4)/64</f>
        <v>91.054031607315892</v>
      </c>
      <c r="B12" t="s">
        <v>274</v>
      </c>
      <c r="C12" t="s">
        <v>268</v>
      </c>
    </row>
    <row r="13" spans="1:4" x14ac:dyDescent="0.3">
      <c r="A13">
        <v>-14.7</v>
      </c>
      <c r="B13" t="s">
        <v>20</v>
      </c>
      <c r="C13" t="s">
        <v>275</v>
      </c>
      <c r="D13" t="s">
        <v>284</v>
      </c>
    </row>
    <row r="14" spans="1:4" x14ac:dyDescent="0.3">
      <c r="A14">
        <f>PI()*'EJMA unreinforced circular'!B16^2/4</f>
        <v>88.831065189328356</v>
      </c>
      <c r="B14" t="s">
        <v>278</v>
      </c>
      <c r="C14" t="s">
        <v>276</v>
      </c>
      <c r="D14" t="s">
        <v>277</v>
      </c>
    </row>
    <row r="15" spans="1:4" x14ac:dyDescent="0.3">
      <c r="A15" s="10">
        <f>'EJMA unreinforced circular'!B92</f>
        <v>1567.8599258898314</v>
      </c>
      <c r="B15" t="s">
        <v>101</v>
      </c>
      <c r="C15" t="s">
        <v>279</v>
      </c>
      <c r="D15" t="s">
        <v>281</v>
      </c>
    </row>
    <row r="16" spans="1:4" x14ac:dyDescent="0.3">
      <c r="A16">
        <f>'EJMA unreinforced circular'!F39</f>
        <v>0.21001188976377952</v>
      </c>
      <c r="B16" t="s">
        <v>117</v>
      </c>
      <c r="C16" t="s">
        <v>5</v>
      </c>
      <c r="D16" t="s">
        <v>280</v>
      </c>
    </row>
    <row r="17" spans="1:4" x14ac:dyDescent="0.3">
      <c r="A17" s="10" t="str">
        <f>IFERROR(1.572*SQRT(A11*A12/(A13*A14+A15*A16)),"NA")</f>
        <v>NA</v>
      </c>
      <c r="B17" t="s">
        <v>117</v>
      </c>
      <c r="C17" t="s">
        <v>266</v>
      </c>
      <c r="D17" t="s">
        <v>282</v>
      </c>
    </row>
    <row r="18" spans="1:4" x14ac:dyDescent="0.3">
      <c r="A18" s="10" t="str">
        <f>IFERROR(A17/12,"NA")</f>
        <v>NA</v>
      </c>
      <c r="B18" t="s">
        <v>179</v>
      </c>
      <c r="C18" t="s">
        <v>266</v>
      </c>
      <c r="D18" t="str">
        <f>D17</f>
        <v>maximum guide spacing per eqn. B-9</v>
      </c>
    </row>
    <row r="20" spans="1:4" x14ac:dyDescent="0.3">
      <c r="A20">
        <f>IFERROR(0.131*SQRT(A11*A12/(A15*A16)),"NA")</f>
        <v>364.52249142362723</v>
      </c>
      <c r="B20" t="s">
        <v>179</v>
      </c>
      <c r="C20" t="s">
        <v>283</v>
      </c>
      <c r="D20" t="s">
        <v>285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0"/>
  <sheetViews>
    <sheetView workbookViewId="0">
      <selection activeCell="B38" sqref="B38"/>
    </sheetView>
  </sheetViews>
  <sheetFormatPr defaultRowHeight="14.4" x14ac:dyDescent="0.3"/>
  <cols>
    <col min="1" max="1" width="25.109375" customWidth="1"/>
    <col min="2" max="2" width="8.88671875" customWidth="1"/>
    <col min="5" max="5" width="17.88671875" customWidth="1"/>
    <col min="6" max="6" width="10.5546875" customWidth="1"/>
    <col min="9" max="9" width="22.109375" customWidth="1"/>
    <col min="17" max="17" width="12.44140625" customWidth="1"/>
  </cols>
  <sheetData>
    <row r="1" spans="1:13" ht="18" x14ac:dyDescent="0.35">
      <c r="A1" s="48" t="s">
        <v>15</v>
      </c>
      <c r="B1" s="48"/>
      <c r="C1" s="48"/>
      <c r="D1" s="48"/>
      <c r="E1" s="48"/>
      <c r="F1" s="48"/>
      <c r="G1" s="48"/>
      <c r="H1" s="48"/>
      <c r="I1" s="48"/>
      <c r="J1" s="48"/>
      <c r="K1" s="48"/>
      <c r="L1" s="48"/>
    </row>
    <row r="2" spans="1:13" x14ac:dyDescent="0.3">
      <c r="B2" s="54" t="s">
        <v>187</v>
      </c>
      <c r="C2" s="54"/>
    </row>
    <row r="3" spans="1:13" x14ac:dyDescent="0.3">
      <c r="A3" s="3" t="s">
        <v>16</v>
      </c>
    </row>
    <row r="4" spans="1:13" x14ac:dyDescent="0.3">
      <c r="A4" t="s">
        <v>17</v>
      </c>
      <c r="B4" s="34">
        <v>68</v>
      </c>
      <c r="C4" t="s">
        <v>18</v>
      </c>
      <c r="D4" t="s">
        <v>23</v>
      </c>
      <c r="E4" t="s">
        <v>30</v>
      </c>
      <c r="F4" t="s">
        <v>37</v>
      </c>
      <c r="I4" t="s">
        <v>38</v>
      </c>
      <c r="J4" t="s">
        <v>43</v>
      </c>
    </row>
    <row r="5" spans="1:13" x14ac:dyDescent="0.3">
      <c r="A5" t="s">
        <v>19</v>
      </c>
      <c r="B5">
        <v>15</v>
      </c>
      <c r="C5" t="s">
        <v>20</v>
      </c>
      <c r="D5" t="s">
        <v>22</v>
      </c>
      <c r="E5" t="s">
        <v>31</v>
      </c>
      <c r="F5" s="15">
        <f>'Eb vs T'!A17</f>
        <v>29025328.962721758</v>
      </c>
      <c r="G5" t="s">
        <v>14</v>
      </c>
      <c r="H5" t="s">
        <v>72</v>
      </c>
      <c r="I5" t="s">
        <v>39</v>
      </c>
      <c r="J5" t="s">
        <v>43</v>
      </c>
      <c r="K5" t="s">
        <v>14</v>
      </c>
    </row>
    <row r="6" spans="1:13" x14ac:dyDescent="0.3">
      <c r="A6" t="s">
        <v>21</v>
      </c>
      <c r="B6">
        <v>10</v>
      </c>
      <c r="C6" t="s">
        <v>1</v>
      </c>
      <c r="D6" t="s">
        <v>24</v>
      </c>
      <c r="E6" t="s">
        <v>33</v>
      </c>
      <c r="F6" s="34">
        <v>11.25</v>
      </c>
      <c r="G6" t="s">
        <v>1</v>
      </c>
      <c r="I6" t="s">
        <v>40</v>
      </c>
      <c r="J6" s="32">
        <f>(F6-B6)/2</f>
        <v>0.625</v>
      </c>
      <c r="K6" t="s">
        <v>1</v>
      </c>
      <c r="L6" t="s">
        <v>49</v>
      </c>
    </row>
    <row r="7" spans="1:13" x14ac:dyDescent="0.3">
      <c r="A7" t="s">
        <v>25</v>
      </c>
      <c r="B7" s="20">
        <v>1</v>
      </c>
      <c r="D7" t="s">
        <v>29</v>
      </c>
      <c r="E7" t="s">
        <v>32</v>
      </c>
      <c r="F7" s="34">
        <v>0.01</v>
      </c>
      <c r="G7" t="s">
        <v>1</v>
      </c>
      <c r="H7" t="s">
        <v>44</v>
      </c>
      <c r="I7" t="s">
        <v>41</v>
      </c>
      <c r="J7" t="s">
        <v>43</v>
      </c>
      <c r="K7" t="s">
        <v>1</v>
      </c>
    </row>
    <row r="8" spans="1:13" x14ac:dyDescent="0.3">
      <c r="A8" t="s">
        <v>9</v>
      </c>
      <c r="B8" s="34">
        <v>16</v>
      </c>
      <c r="D8" t="s">
        <v>28</v>
      </c>
      <c r="E8" t="s">
        <v>34</v>
      </c>
      <c r="F8">
        <f>J9/B8</f>
        <v>0.75</v>
      </c>
      <c r="G8" t="s">
        <v>35</v>
      </c>
      <c r="H8" t="s">
        <v>36</v>
      </c>
      <c r="I8" t="s">
        <v>42</v>
      </c>
      <c r="J8" s="2">
        <f>F8+B38/B8</f>
        <v>0.81227013976377949</v>
      </c>
      <c r="K8" t="s">
        <v>1</v>
      </c>
      <c r="L8" t="s">
        <v>45</v>
      </c>
    </row>
    <row r="9" spans="1:13" x14ac:dyDescent="0.3">
      <c r="A9" t="s">
        <v>26</v>
      </c>
      <c r="B9" s="34">
        <f>(2+0.5)/2</f>
        <v>1.25</v>
      </c>
      <c r="C9" t="s">
        <v>1</v>
      </c>
      <c r="D9" t="s">
        <v>27</v>
      </c>
      <c r="E9" t="s">
        <v>8</v>
      </c>
      <c r="F9">
        <f>J9+2*B9</f>
        <v>14.5</v>
      </c>
      <c r="G9" t="s">
        <v>1</v>
      </c>
      <c r="I9" t="s">
        <v>112</v>
      </c>
      <c r="J9" s="35">
        <v>12</v>
      </c>
      <c r="K9" t="s">
        <v>1</v>
      </c>
      <c r="L9" t="s">
        <v>113</v>
      </c>
    </row>
    <row r="10" spans="1:13" x14ac:dyDescent="0.3">
      <c r="A10" t="s">
        <v>188</v>
      </c>
      <c r="B10" s="36">
        <f>2*F10+2*B9+J9</f>
        <v>16.740000000000002</v>
      </c>
      <c r="C10" t="s">
        <v>1</v>
      </c>
      <c r="D10" t="s">
        <v>189</v>
      </c>
      <c r="E10" t="s">
        <v>190</v>
      </c>
      <c r="F10">
        <v>1.1200000000000001</v>
      </c>
      <c r="G10" t="s">
        <v>1</v>
      </c>
      <c r="J10" s="32"/>
    </row>
    <row r="11" spans="1:13" x14ac:dyDescent="0.3">
      <c r="B11" s="50" t="s">
        <v>110</v>
      </c>
      <c r="C11" s="50"/>
      <c r="D11" s="50"/>
      <c r="E11" s="50"/>
      <c r="F11" s="50"/>
      <c r="G11" s="50"/>
    </row>
    <row r="12" spans="1:13" x14ac:dyDescent="0.3">
      <c r="B12" s="21"/>
      <c r="C12" s="22"/>
      <c r="D12" s="22"/>
      <c r="E12" s="22"/>
      <c r="F12" s="22"/>
    </row>
    <row r="13" spans="1:13" ht="23.4" x14ac:dyDescent="0.45">
      <c r="A13" s="3" t="s">
        <v>46</v>
      </c>
      <c r="E13" s="55" t="s">
        <v>153</v>
      </c>
      <c r="F13" s="55"/>
      <c r="G13" s="55"/>
      <c r="H13" s="55"/>
      <c r="I13" s="55"/>
      <c r="J13" s="55"/>
      <c r="K13" s="55"/>
      <c r="L13" s="55"/>
      <c r="M13" s="20"/>
    </row>
    <row r="14" spans="1:13" ht="23.4" x14ac:dyDescent="0.45">
      <c r="A14" t="s">
        <v>47</v>
      </c>
      <c r="I14" s="19"/>
      <c r="J14" s="20"/>
      <c r="K14" s="20"/>
      <c r="L14" s="20"/>
      <c r="M14" s="20"/>
    </row>
    <row r="15" spans="1:13" x14ac:dyDescent="0.3">
      <c r="A15" t="s">
        <v>48</v>
      </c>
      <c r="I15" s="31"/>
    </row>
    <row r="16" spans="1:13" x14ac:dyDescent="0.3">
      <c r="A16" s="5" t="s">
        <v>50</v>
      </c>
      <c r="B16">
        <f>B6+J6+B7*F7</f>
        <v>10.635</v>
      </c>
      <c r="C16" t="s">
        <v>1</v>
      </c>
      <c r="I16" s="31"/>
    </row>
    <row r="17" spans="1:3" x14ac:dyDescent="0.3">
      <c r="A17" s="6" t="s">
        <v>55</v>
      </c>
    </row>
    <row r="18" spans="1:3" x14ac:dyDescent="0.3">
      <c r="A18" s="5" t="s">
        <v>57</v>
      </c>
    </row>
    <row r="19" spans="1:3" x14ac:dyDescent="0.3">
      <c r="A19" s="5" t="s">
        <v>56</v>
      </c>
      <c r="B19" s="7">
        <f>F7*SQRT(B6/B16)</f>
        <v>9.696862845075269E-3</v>
      </c>
      <c r="C19" t="s">
        <v>1</v>
      </c>
    </row>
    <row r="20" spans="1:3" x14ac:dyDescent="0.3">
      <c r="A20" s="6" t="s">
        <v>51</v>
      </c>
    </row>
    <row r="21" spans="1:3" x14ac:dyDescent="0.3">
      <c r="A21" s="6" t="s">
        <v>52</v>
      </c>
    </row>
    <row r="22" spans="1:3" x14ac:dyDescent="0.3">
      <c r="A22" t="s">
        <v>53</v>
      </c>
      <c r="B22" s="8">
        <f>F8/(2*J6)</f>
        <v>0.6</v>
      </c>
      <c r="C22" t="s">
        <v>59</v>
      </c>
    </row>
    <row r="23" spans="1:3" x14ac:dyDescent="0.3">
      <c r="A23" t="s">
        <v>54</v>
      </c>
      <c r="B23" s="8">
        <f>F8/(2.2*SQRT(B16*B19))</f>
        <v>1.0615836204139382</v>
      </c>
      <c r="C23" t="s">
        <v>59</v>
      </c>
    </row>
    <row r="24" spans="1:3" x14ac:dyDescent="0.3">
      <c r="A24" s="5" t="s">
        <v>58</v>
      </c>
      <c r="B24" s="37">
        <v>0.53</v>
      </c>
      <c r="C24" t="s">
        <v>59</v>
      </c>
    </row>
    <row r="25" spans="1:3" x14ac:dyDescent="0.3">
      <c r="A25" s="6" t="s">
        <v>60</v>
      </c>
      <c r="B25" s="8"/>
    </row>
    <row r="26" spans="1:3" x14ac:dyDescent="0.3">
      <c r="A26" s="6" t="s">
        <v>111</v>
      </c>
      <c r="B26" s="8"/>
    </row>
    <row r="27" spans="1:3" x14ac:dyDescent="0.3">
      <c r="A27" s="5" t="s">
        <v>61</v>
      </c>
      <c r="B27" s="37">
        <v>1.25</v>
      </c>
      <c r="C27" t="s">
        <v>59</v>
      </c>
    </row>
    <row r="28" spans="1:3" x14ac:dyDescent="0.3">
      <c r="A28" s="6" t="s">
        <v>65</v>
      </c>
      <c r="B28" s="8"/>
    </row>
    <row r="29" spans="1:3" x14ac:dyDescent="0.3">
      <c r="A29" s="6" t="s">
        <v>66</v>
      </c>
      <c r="B29" s="8"/>
    </row>
    <row r="30" spans="1:3" x14ac:dyDescent="0.3">
      <c r="A30" s="5" t="s">
        <v>67</v>
      </c>
      <c r="B30" s="37">
        <v>2</v>
      </c>
      <c r="C30" t="s">
        <v>59</v>
      </c>
    </row>
    <row r="31" spans="1:3" x14ac:dyDescent="0.3">
      <c r="A31" t="s">
        <v>62</v>
      </c>
      <c r="B31" s="8"/>
    </row>
    <row r="32" spans="1:3" x14ac:dyDescent="0.3">
      <c r="A32" t="s">
        <v>64</v>
      </c>
      <c r="B32" s="8"/>
    </row>
    <row r="33" spans="1:8" x14ac:dyDescent="0.3">
      <c r="A33" s="5" t="s">
        <v>63</v>
      </c>
      <c r="B33">
        <f>MIN(B9/(1.5*SQRT(B6*F7)),1)</f>
        <v>1</v>
      </c>
    </row>
    <row r="34" spans="1:8" x14ac:dyDescent="0.3">
      <c r="A34" s="5" t="s">
        <v>70</v>
      </c>
      <c r="C34" t="s">
        <v>71</v>
      </c>
    </row>
    <row r="35" spans="1:8" x14ac:dyDescent="0.3">
      <c r="A35" s="5" t="s">
        <v>68</v>
      </c>
      <c r="B35" t="s">
        <v>69</v>
      </c>
    </row>
    <row r="37" spans="1:8" x14ac:dyDescent="0.3">
      <c r="A37" s="49" t="s">
        <v>10</v>
      </c>
      <c r="B37" s="49"/>
      <c r="C37" s="49"/>
      <c r="D37" s="11"/>
      <c r="E37" s="51"/>
      <c r="F37" s="51"/>
      <c r="G37" s="51"/>
      <c r="H37" s="2"/>
    </row>
    <row r="38" spans="1:8" x14ac:dyDescent="0.3">
      <c r="A38" t="s">
        <v>0</v>
      </c>
      <c r="B38" s="35">
        <f>ABS('FC expansion requirements'!B53)</f>
        <v>0.99632223622047245</v>
      </c>
      <c r="C38" t="s">
        <v>1</v>
      </c>
      <c r="D38" t="s">
        <v>191</v>
      </c>
      <c r="E38" t="s">
        <v>4</v>
      </c>
      <c r="F38" s="2">
        <f>B38/B8</f>
        <v>6.2270139763779528E-2</v>
      </c>
      <c r="G38" t="s">
        <v>117</v>
      </c>
      <c r="H38" t="s">
        <v>85</v>
      </c>
    </row>
    <row r="39" spans="1:8" x14ac:dyDescent="0.3">
      <c r="A39" t="s">
        <v>2</v>
      </c>
      <c r="B39" s="35">
        <f>ABS('FC expansion requirements'!B51)</f>
        <v>3.3601902362204723</v>
      </c>
      <c r="C39" t="s">
        <v>1</v>
      </c>
      <c r="D39" t="s">
        <v>192</v>
      </c>
      <c r="E39" t="s">
        <v>5</v>
      </c>
      <c r="F39" s="2">
        <f>B39/B8</f>
        <v>0.21001188976377952</v>
      </c>
      <c r="G39" t="s">
        <v>117</v>
      </c>
      <c r="H39" t="s">
        <v>196</v>
      </c>
    </row>
    <row r="40" spans="1:8" x14ac:dyDescent="0.3">
      <c r="A40" t="s">
        <v>3</v>
      </c>
      <c r="B40" s="35">
        <f>'FC expansion requirements'!B54</f>
        <v>0.8306095562206024</v>
      </c>
      <c r="C40" t="s">
        <v>1</v>
      </c>
      <c r="D40" t="s">
        <v>115</v>
      </c>
      <c r="E40" t="s">
        <v>6</v>
      </c>
      <c r="F40" s="2">
        <f>3*B16*B40/(B8*(J9-B39))</f>
        <v>0.19170414783260156</v>
      </c>
      <c r="G40" t="s">
        <v>117</v>
      </c>
      <c r="H40" t="s">
        <v>195</v>
      </c>
    </row>
    <row r="41" spans="1:8" x14ac:dyDescent="0.3">
      <c r="A41" t="s">
        <v>194</v>
      </c>
      <c r="B41" s="35">
        <f>'FC expansion requirements'!B43/1000</f>
        <v>5.0000000000000001E-3</v>
      </c>
      <c r="C41" s="1" t="s">
        <v>135</v>
      </c>
      <c r="D41" s="1" t="s">
        <v>193</v>
      </c>
      <c r="E41" t="s">
        <v>7</v>
      </c>
      <c r="F41" s="2">
        <f>B41*B16/(2*B8)</f>
        <v>1.66171875E-3</v>
      </c>
      <c r="G41" t="s">
        <v>117</v>
      </c>
      <c r="H41" t="s">
        <v>134</v>
      </c>
    </row>
    <row r="42" spans="1:8" x14ac:dyDescent="0.3">
      <c r="A42" t="s">
        <v>136</v>
      </c>
      <c r="B42" s="2">
        <v>0</v>
      </c>
      <c r="C42" s="1" t="s">
        <v>135</v>
      </c>
      <c r="D42" s="1" t="s">
        <v>197</v>
      </c>
      <c r="F42" s="2"/>
    </row>
    <row r="43" spans="1:8" x14ac:dyDescent="0.3">
      <c r="A43" t="s">
        <v>198</v>
      </c>
      <c r="B43" s="2">
        <f>F40+F41+F39</f>
        <v>0.40337775634638107</v>
      </c>
      <c r="C43" s="1" t="s">
        <v>1</v>
      </c>
      <c r="D43" s="1" t="s">
        <v>200</v>
      </c>
      <c r="E43" s="1" t="s">
        <v>202</v>
      </c>
      <c r="F43" s="2"/>
    </row>
    <row r="44" spans="1:8" x14ac:dyDescent="0.3">
      <c r="A44" t="s">
        <v>199</v>
      </c>
      <c r="B44" s="2">
        <f>F40+F41-F38</f>
        <v>0.13109572681882203</v>
      </c>
      <c r="C44" s="1" t="s">
        <v>1</v>
      </c>
      <c r="D44" s="1" t="s">
        <v>201</v>
      </c>
      <c r="E44" s="1" t="s">
        <v>202</v>
      </c>
      <c r="F44" s="2"/>
    </row>
    <row r="46" spans="1:8" x14ac:dyDescent="0.3">
      <c r="A46" s="49" t="s">
        <v>11</v>
      </c>
      <c r="B46" s="49"/>
      <c r="C46" s="49"/>
      <c r="D46" s="4"/>
    </row>
    <row r="47" spans="1:8" x14ac:dyDescent="0.3">
      <c r="A47" t="s">
        <v>13</v>
      </c>
    </row>
    <row r="48" spans="1:8" x14ac:dyDescent="0.3">
      <c r="A48" t="s">
        <v>12</v>
      </c>
    </row>
    <row r="49" spans="1:4" x14ac:dyDescent="0.3">
      <c r="A49" s="9" t="s">
        <v>73</v>
      </c>
    </row>
    <row r="50" spans="1:4" ht="15.6" x14ac:dyDescent="0.35">
      <c r="A50" s="5" t="s">
        <v>249</v>
      </c>
      <c r="B50" s="10">
        <f>B5*(B6+B7*F7)^2*B9*F5*B33/(2*(B7*F7*F5*B9*(B6+B7*F7)))</f>
        <v>7507.4999999999991</v>
      </c>
      <c r="C50" t="s">
        <v>14</v>
      </c>
    </row>
    <row r="51" spans="1:4" x14ac:dyDescent="0.3">
      <c r="A51" t="s">
        <v>74</v>
      </c>
    </row>
    <row r="52" spans="1:4" x14ac:dyDescent="0.3">
      <c r="A52" t="s">
        <v>75</v>
      </c>
    </row>
    <row r="53" spans="1:4" x14ac:dyDescent="0.3">
      <c r="A53" s="9" t="s">
        <v>86</v>
      </c>
    </row>
    <row r="54" spans="1:4" ht="15.6" x14ac:dyDescent="0.35">
      <c r="A54" s="5" t="s">
        <v>248</v>
      </c>
      <c r="B54" s="10">
        <f>B5*B16/(2*B7*B19*(0.571+2*J6/J8))</f>
        <v>3898.5783861862483</v>
      </c>
      <c r="C54" t="s">
        <v>14</v>
      </c>
    </row>
    <row r="55" spans="1:4" x14ac:dyDescent="0.3">
      <c r="A55" t="s">
        <v>79</v>
      </c>
    </row>
    <row r="56" spans="1:4" x14ac:dyDescent="0.3">
      <c r="A56" t="s">
        <v>77</v>
      </c>
    </row>
    <row r="57" spans="1:4" ht="15.6" x14ac:dyDescent="0.35">
      <c r="A57" s="5" t="s">
        <v>250</v>
      </c>
      <c r="B57" s="10">
        <f>B5*J6/(2*B7*B19)</f>
        <v>483.40376417519752</v>
      </c>
      <c r="C57" t="s">
        <v>14</v>
      </c>
    </row>
    <row r="58" spans="1:4" x14ac:dyDescent="0.3">
      <c r="A58" t="s">
        <v>78</v>
      </c>
    </row>
    <row r="59" spans="1:4" x14ac:dyDescent="0.3">
      <c r="A59" t="s">
        <v>76</v>
      </c>
    </row>
    <row r="60" spans="1:4" ht="15.6" x14ac:dyDescent="0.35">
      <c r="A60" s="5" t="s">
        <v>251</v>
      </c>
      <c r="B60" s="10">
        <f>(B5/(2*B7))*(J6/B19)^2*B24</f>
        <v>16513.330078124993</v>
      </c>
      <c r="C60" t="s">
        <v>14</v>
      </c>
    </row>
    <row r="61" spans="1:4" x14ac:dyDescent="0.3">
      <c r="A61" s="5"/>
      <c r="B61" s="10"/>
    </row>
    <row r="62" spans="1:4" ht="15.6" x14ac:dyDescent="0.35">
      <c r="A62" s="24" t="s">
        <v>149</v>
      </c>
      <c r="B62" s="27">
        <v>15700</v>
      </c>
      <c r="C62" s="23" t="s">
        <v>14</v>
      </c>
      <c r="D62" s="23" t="s">
        <v>146</v>
      </c>
    </row>
    <row r="63" spans="1:4" ht="15.6" x14ac:dyDescent="0.35">
      <c r="A63" s="5" t="s">
        <v>246</v>
      </c>
      <c r="B63" s="10">
        <v>1</v>
      </c>
      <c r="C63" s="33" t="s">
        <v>182</v>
      </c>
      <c r="D63" t="s">
        <v>247</v>
      </c>
    </row>
    <row r="64" spans="1:4" ht="15.6" x14ac:dyDescent="0.35">
      <c r="A64" s="5" t="s">
        <v>252</v>
      </c>
      <c r="B64" s="10" t="b">
        <f>(B50&lt;B63*B62)</f>
        <v>1</v>
      </c>
      <c r="C64" s="33"/>
    </row>
    <row r="65" spans="1:10" ht="15.6" x14ac:dyDescent="0.35">
      <c r="A65" s="5" t="s">
        <v>253</v>
      </c>
      <c r="B65" s="10" t="b">
        <f>(B54&lt;B63*B62)</f>
        <v>1</v>
      </c>
      <c r="C65" s="33"/>
    </row>
    <row r="66" spans="1:10" ht="15.6" x14ac:dyDescent="0.35">
      <c r="A66" s="5" t="s">
        <v>244</v>
      </c>
      <c r="B66" s="10">
        <v>3</v>
      </c>
      <c r="C66" s="33" t="s">
        <v>182</v>
      </c>
      <c r="D66" t="s">
        <v>245</v>
      </c>
    </row>
    <row r="67" spans="1:10" ht="15.6" x14ac:dyDescent="0.35">
      <c r="A67" s="5" t="s">
        <v>254</v>
      </c>
      <c r="B67" s="10" t="b">
        <f>(B57&lt;B66*B62)</f>
        <v>1</v>
      </c>
      <c r="C67" s="33"/>
    </row>
    <row r="68" spans="1:10" ht="15.6" x14ac:dyDescent="0.35">
      <c r="A68" s="5" t="s">
        <v>255</v>
      </c>
      <c r="B68" s="10" t="b">
        <f>(B60&lt;B66*B62)</f>
        <v>1</v>
      </c>
      <c r="C68" s="33"/>
    </row>
    <row r="70" spans="1:10" x14ac:dyDescent="0.3">
      <c r="A70" s="49" t="s">
        <v>80</v>
      </c>
      <c r="B70" s="49"/>
      <c r="C70" s="49"/>
    </row>
    <row r="71" spans="1:10" x14ac:dyDescent="0.3">
      <c r="A71" t="s">
        <v>81</v>
      </c>
    </row>
    <row r="72" spans="1:10" x14ac:dyDescent="0.3">
      <c r="A72" t="s">
        <v>82</v>
      </c>
    </row>
    <row r="73" spans="1:10" ht="15.6" x14ac:dyDescent="0.35">
      <c r="A73" s="5" t="s">
        <v>256</v>
      </c>
      <c r="B73" s="13">
        <f>(F5*B19^2*B43)/(2*J6^3*B27)</f>
        <v>1803.7300541952568</v>
      </c>
      <c r="C73" t="s">
        <v>14</v>
      </c>
    </row>
    <row r="74" spans="1:10" x14ac:dyDescent="0.3">
      <c r="A74" t="s">
        <v>83</v>
      </c>
    </row>
    <row r="75" spans="1:10" x14ac:dyDescent="0.3">
      <c r="A75" t="s">
        <v>84</v>
      </c>
    </row>
    <row r="76" spans="1:10" ht="15.6" x14ac:dyDescent="0.35">
      <c r="A76" s="5" t="s">
        <v>257</v>
      </c>
      <c r="B76" s="13">
        <f>(5*F5*B19*B43)/(3*J6^2*B30)</f>
        <v>242202.74937608893</v>
      </c>
      <c r="C76" t="s">
        <v>14</v>
      </c>
    </row>
    <row r="77" spans="1:10" x14ac:dyDescent="0.3">
      <c r="A77" s="23"/>
      <c r="B77" s="23"/>
      <c r="C77" s="23"/>
      <c r="D77" s="23"/>
      <c r="E77" s="23"/>
      <c r="F77" s="23"/>
      <c r="G77" s="23"/>
      <c r="H77" s="23"/>
      <c r="I77" s="23"/>
      <c r="J77" s="23"/>
    </row>
    <row r="78" spans="1:10" ht="15.6" x14ac:dyDescent="0.35">
      <c r="A78" s="23" t="s">
        <v>139</v>
      </c>
      <c r="B78" s="23"/>
      <c r="C78" s="23" t="s">
        <v>138</v>
      </c>
      <c r="D78" s="23"/>
      <c r="E78" s="23"/>
      <c r="F78" s="23"/>
      <c r="G78" s="23"/>
      <c r="H78" s="23"/>
      <c r="I78" s="23"/>
      <c r="J78" s="23"/>
    </row>
    <row r="79" spans="1:10" x14ac:dyDescent="0.3">
      <c r="A79" s="24" t="s">
        <v>141</v>
      </c>
      <c r="B79" s="25">
        <v>10600000</v>
      </c>
      <c r="C79" s="23" t="s">
        <v>14</v>
      </c>
      <c r="D79" s="23" t="s">
        <v>147</v>
      </c>
      <c r="E79" s="23"/>
      <c r="F79" s="23"/>
      <c r="G79" s="23"/>
      <c r="H79" s="23"/>
      <c r="I79" s="23"/>
      <c r="J79" s="23"/>
    </row>
    <row r="80" spans="1:10" ht="15.6" x14ac:dyDescent="0.35">
      <c r="A80" s="24" t="s">
        <v>142</v>
      </c>
      <c r="B80" s="26">
        <f>0.571*F8+2*J6</f>
        <v>1.67825</v>
      </c>
      <c r="C80" s="23" t="s">
        <v>121</v>
      </c>
      <c r="D80" s="23" t="s">
        <v>143</v>
      </c>
      <c r="E80" s="23"/>
      <c r="F80" s="23"/>
      <c r="G80" s="23"/>
      <c r="H80" s="23"/>
      <c r="I80" s="23"/>
      <c r="J80" s="23"/>
    </row>
    <row r="81" spans="1:11" ht="15.6" x14ac:dyDescent="0.35">
      <c r="A81" s="24" t="s">
        <v>140</v>
      </c>
      <c r="B81" s="27">
        <f>PI()*B79*B7*F7*B6^3*B42/(4*B80*B8)</f>
        <v>0</v>
      </c>
      <c r="C81" s="23" t="s">
        <v>121</v>
      </c>
      <c r="D81" s="23"/>
      <c r="E81" s="23"/>
      <c r="F81" s="23"/>
      <c r="G81" s="23"/>
      <c r="H81" s="23"/>
      <c r="I81" s="23"/>
      <c r="J81" s="23"/>
    </row>
    <row r="82" spans="1:11" x14ac:dyDescent="0.3">
      <c r="A82" s="24" t="s">
        <v>306</v>
      </c>
      <c r="B82" s="27">
        <f>PI()*B79*B7*F7*B6^3/(4*B80*B8)</f>
        <v>3100409.8510401277</v>
      </c>
      <c r="C82" s="23" t="s">
        <v>305</v>
      </c>
      <c r="D82" s="46" t="s">
        <v>303</v>
      </c>
      <c r="E82" s="46"/>
      <c r="F82" s="46"/>
      <c r="G82" s="46"/>
      <c r="H82" s="46"/>
      <c r="I82" s="46"/>
      <c r="J82" s="43">
        <f>B82*4.44822*0.0254</f>
        <v>350299.14973288041</v>
      </c>
      <c r="K82" s="44" t="s">
        <v>304</v>
      </c>
    </row>
    <row r="83" spans="1:11" ht="15.6" x14ac:dyDescent="0.35">
      <c r="A83" s="23" t="s">
        <v>144</v>
      </c>
      <c r="B83" s="23"/>
      <c r="C83" s="23" t="s">
        <v>145</v>
      </c>
      <c r="D83" s="23"/>
      <c r="E83" s="23"/>
      <c r="F83" s="23"/>
      <c r="G83" s="23"/>
      <c r="H83" s="23"/>
      <c r="I83" s="23"/>
      <c r="J83" s="23"/>
    </row>
    <row r="84" spans="1:11" ht="15.6" x14ac:dyDescent="0.35">
      <c r="A84" s="24" t="s">
        <v>137</v>
      </c>
      <c r="B84" s="27">
        <f>2*B81/(B7*F7*PI()*B6^2)</f>
        <v>0</v>
      </c>
      <c r="C84" s="23" t="s">
        <v>14</v>
      </c>
      <c r="D84" s="23" t="s">
        <v>148</v>
      </c>
      <c r="E84" s="23"/>
      <c r="F84" s="23"/>
      <c r="G84" s="23"/>
      <c r="H84" s="23"/>
      <c r="I84" s="23"/>
      <c r="J84" s="23"/>
    </row>
    <row r="85" spans="1:11" ht="15.6" x14ac:dyDescent="0.35">
      <c r="A85" s="24" t="s">
        <v>149</v>
      </c>
      <c r="B85" s="27">
        <v>15700</v>
      </c>
      <c r="C85" s="23" t="s">
        <v>14</v>
      </c>
      <c r="D85" s="23" t="s">
        <v>146</v>
      </c>
      <c r="E85" s="23"/>
      <c r="F85" s="23"/>
      <c r="G85" s="23"/>
      <c r="H85" s="23"/>
      <c r="I85" s="23"/>
      <c r="J85" s="23"/>
    </row>
    <row r="86" spans="1:11" ht="15.6" x14ac:dyDescent="0.35">
      <c r="A86" s="24" t="s">
        <v>150</v>
      </c>
      <c r="B86" s="27">
        <f>B85/4</f>
        <v>3925</v>
      </c>
      <c r="C86" s="23" t="s">
        <v>14</v>
      </c>
      <c r="D86" s="23"/>
      <c r="E86" s="23"/>
      <c r="F86" s="23"/>
      <c r="G86" s="23"/>
      <c r="H86" s="23"/>
      <c r="I86" s="23"/>
      <c r="J86" s="23"/>
    </row>
    <row r="87" spans="1:11" ht="15.6" x14ac:dyDescent="0.35">
      <c r="A87" s="28" t="s">
        <v>152</v>
      </c>
      <c r="B87" s="29">
        <f>B86*2*B80*B8/(B79*B6)</f>
        <v>1.9885679245283021E-3</v>
      </c>
      <c r="C87" s="9" t="s">
        <v>135</v>
      </c>
      <c r="D87" s="30">
        <f>DEGREES(B87)</f>
        <v>0.11393654935056133</v>
      </c>
      <c r="E87" s="23" t="s">
        <v>151</v>
      </c>
      <c r="F87" s="23"/>
      <c r="G87" s="23"/>
      <c r="H87" s="23"/>
      <c r="I87" s="23"/>
      <c r="J87" s="23"/>
    </row>
    <row r="88" spans="1:11" x14ac:dyDescent="0.3">
      <c r="A88" s="23"/>
      <c r="B88" s="23"/>
      <c r="C88" s="23"/>
      <c r="D88" s="23"/>
      <c r="E88" s="23"/>
      <c r="F88" s="23"/>
      <c r="G88" s="23"/>
      <c r="H88" s="23"/>
      <c r="I88" s="23"/>
      <c r="J88" s="23"/>
    </row>
    <row r="89" spans="1:11" x14ac:dyDescent="0.3">
      <c r="A89" s="49" t="s">
        <v>258</v>
      </c>
      <c r="B89" s="49"/>
      <c r="C89" s="49"/>
    </row>
    <row r="90" spans="1:11" x14ac:dyDescent="0.3">
      <c r="A90" s="14" t="s">
        <v>98</v>
      </c>
    </row>
    <row r="91" spans="1:11" x14ac:dyDescent="0.3">
      <c r="A91" t="s">
        <v>99</v>
      </c>
    </row>
    <row r="92" spans="1:11" x14ac:dyDescent="0.3">
      <c r="A92" s="5" t="s">
        <v>100</v>
      </c>
      <c r="B92" s="13">
        <f>1.7*B16*F5*B19^3*B7/(J6^3*B27)</f>
        <v>1567.8599258898314</v>
      </c>
      <c r="C92" t="s">
        <v>101</v>
      </c>
    </row>
    <row r="93" spans="1:11" x14ac:dyDescent="0.3">
      <c r="A93" s="5" t="s">
        <v>124</v>
      </c>
      <c r="B93" s="13">
        <f>B92/B8</f>
        <v>97.991245368114463</v>
      </c>
      <c r="C93" t="s">
        <v>101</v>
      </c>
      <c r="D93" s="45" t="s">
        <v>186</v>
      </c>
      <c r="E93" s="45"/>
      <c r="F93" s="45"/>
      <c r="G93" s="45"/>
      <c r="H93" s="45"/>
      <c r="I93" s="45"/>
      <c r="J93" s="43">
        <f>B93*4.44822*39.3701</f>
        <v>17160.899718508957</v>
      </c>
      <c r="K93" s="44" t="s">
        <v>302</v>
      </c>
    </row>
    <row r="94" spans="1:11" x14ac:dyDescent="0.3">
      <c r="A94" s="5" t="s">
        <v>259</v>
      </c>
      <c r="B94" s="13">
        <f>B92*F39</f>
        <v>329.26922592102278</v>
      </c>
      <c r="C94" t="s">
        <v>119</v>
      </c>
      <c r="K94" s="13"/>
    </row>
    <row r="96" spans="1:11" x14ac:dyDescent="0.3">
      <c r="A96" s="49" t="s">
        <v>125</v>
      </c>
      <c r="B96" s="49"/>
      <c r="C96" s="49"/>
    </row>
    <row r="97" spans="1:11" x14ac:dyDescent="0.3">
      <c r="A97" s="5" t="s">
        <v>115</v>
      </c>
      <c r="B97" s="2">
        <f>B40</f>
        <v>0.8306095562206024</v>
      </c>
      <c r="C97" t="s">
        <v>117</v>
      </c>
      <c r="D97" t="s">
        <v>116</v>
      </c>
    </row>
    <row r="98" spans="1:11" x14ac:dyDescent="0.3">
      <c r="A98" s="5" t="s">
        <v>6</v>
      </c>
      <c r="B98" s="2">
        <f>F40</f>
        <v>0.19170414783260156</v>
      </c>
      <c r="C98" t="s">
        <v>117</v>
      </c>
      <c r="D98" t="s">
        <v>114</v>
      </c>
    </row>
    <row r="99" spans="1:11" x14ac:dyDescent="0.3">
      <c r="A99" s="5" t="s">
        <v>118</v>
      </c>
      <c r="B99" s="10">
        <f>B92*B16*B98/(2*(J9-B39))</f>
        <v>184.987374255059</v>
      </c>
      <c r="C99" t="s">
        <v>119</v>
      </c>
      <c r="D99" t="s">
        <v>123</v>
      </c>
    </row>
    <row r="100" spans="1:11" x14ac:dyDescent="0.3">
      <c r="A100" s="5" t="s">
        <v>120</v>
      </c>
      <c r="B100" s="10">
        <f>B92*B16*B98/4</f>
        <v>799.12786113239827</v>
      </c>
      <c r="C100" t="s">
        <v>121</v>
      </c>
      <c r="D100" t="s">
        <v>122</v>
      </c>
    </row>
    <row r="101" spans="1:11" x14ac:dyDescent="0.3">
      <c r="A101" s="5" t="s">
        <v>300</v>
      </c>
      <c r="B101" s="10">
        <f>B99/B97</f>
        <v>222.71279311639418</v>
      </c>
      <c r="C101" t="s">
        <v>101</v>
      </c>
      <c r="D101" s="45" t="s">
        <v>301</v>
      </c>
      <c r="E101" s="45"/>
      <c r="F101" s="45"/>
      <c r="G101" s="45"/>
      <c r="H101" s="45"/>
      <c r="I101" s="45"/>
      <c r="J101" s="43">
        <f>B101*4.44822*39.3701</f>
        <v>39002.993526022728</v>
      </c>
      <c r="K101" s="44" t="s">
        <v>302</v>
      </c>
    </row>
    <row r="102" spans="1:11" x14ac:dyDescent="0.3">
      <c r="A102" t="s">
        <v>128</v>
      </c>
    </row>
    <row r="103" spans="1:11" x14ac:dyDescent="0.3">
      <c r="A103" t="s">
        <v>129</v>
      </c>
    </row>
    <row r="104" spans="1:11" x14ac:dyDescent="0.3">
      <c r="A104" s="5" t="s">
        <v>130</v>
      </c>
      <c r="B104" s="13">
        <f>(F5*B19^2*B98)/(2*J6^3*B27)</f>
        <v>857.21765149248824</v>
      </c>
      <c r="C104" t="s">
        <v>14</v>
      </c>
    </row>
    <row r="105" spans="1:11" x14ac:dyDescent="0.3">
      <c r="A105" t="s">
        <v>131</v>
      </c>
    </row>
    <row r="106" spans="1:11" x14ac:dyDescent="0.3">
      <c r="A106" t="s">
        <v>132</v>
      </c>
    </row>
    <row r="107" spans="1:11" x14ac:dyDescent="0.3">
      <c r="A107" s="5" t="s">
        <v>133</v>
      </c>
      <c r="B107" s="13">
        <f>(5*F5*B19*B98)/(3*J6^2*B30)</f>
        <v>115106.17762469208</v>
      </c>
      <c r="C107" t="s">
        <v>14</v>
      </c>
    </row>
    <row r="108" spans="1:11" x14ac:dyDescent="0.3">
      <c r="A108" s="53" t="s">
        <v>126</v>
      </c>
      <c r="B108" s="53"/>
      <c r="C108" s="53"/>
      <c r="D108" s="53"/>
      <c r="E108" s="53"/>
      <c r="F108" s="53"/>
      <c r="G108" s="53"/>
      <c r="H108" s="53"/>
      <c r="I108" s="53"/>
      <c r="J108" s="53"/>
    </row>
    <row r="109" spans="1:11" ht="30" customHeight="1" x14ac:dyDescent="0.3">
      <c r="A109" s="52" t="s">
        <v>127</v>
      </c>
      <c r="B109" s="52"/>
      <c r="C109" s="52"/>
      <c r="D109" s="52"/>
      <c r="E109" s="52"/>
      <c r="F109" s="52"/>
      <c r="G109" s="52"/>
      <c r="H109" s="52"/>
      <c r="I109" s="52"/>
      <c r="J109" s="52"/>
    </row>
    <row r="111" spans="1:11" x14ac:dyDescent="0.3">
      <c r="A111" s="49" t="s">
        <v>87</v>
      </c>
      <c r="B111" s="49"/>
      <c r="C111" s="49"/>
    </row>
    <row r="112" spans="1:11" x14ac:dyDescent="0.3">
      <c r="A112" t="s">
        <v>88</v>
      </c>
    </row>
    <row r="113" spans="1:3" x14ac:dyDescent="0.3">
      <c r="A113" t="s">
        <v>89</v>
      </c>
    </row>
    <row r="114" spans="1:3" x14ac:dyDescent="0.3">
      <c r="A114" t="s">
        <v>90</v>
      </c>
    </row>
    <row r="115" spans="1:3" x14ac:dyDescent="0.3">
      <c r="A115" s="5" t="s">
        <v>95</v>
      </c>
      <c r="B115" s="13">
        <f>0.7*(B57+B60)+(B73+B76)</f>
        <v>255904.19311989431</v>
      </c>
      <c r="C115" t="s">
        <v>14</v>
      </c>
    </row>
    <row r="116" spans="1:3" x14ac:dyDescent="0.3">
      <c r="A116" t="s">
        <v>91</v>
      </c>
    </row>
    <row r="117" spans="1:3" x14ac:dyDescent="0.3">
      <c r="A117" s="5" t="s">
        <v>93</v>
      </c>
      <c r="B117">
        <v>3.4</v>
      </c>
      <c r="C117" t="s">
        <v>59</v>
      </c>
    </row>
    <row r="118" spans="1:3" x14ac:dyDescent="0.3">
      <c r="A118" s="5" t="s">
        <v>94</v>
      </c>
      <c r="B118">
        <v>54000</v>
      </c>
      <c r="C118" t="s">
        <v>14</v>
      </c>
    </row>
    <row r="119" spans="1:3" x14ac:dyDescent="0.3">
      <c r="A119" s="5" t="s">
        <v>92</v>
      </c>
      <c r="B119" s="12">
        <v>1860000</v>
      </c>
      <c r="C119" t="s">
        <v>14</v>
      </c>
    </row>
    <row r="120" spans="1:3" x14ac:dyDescent="0.3">
      <c r="A120" s="5" t="s">
        <v>96</v>
      </c>
      <c r="B120" s="13">
        <f>(B119/(B115-B118))^B117</f>
        <v>1900.4211704202235</v>
      </c>
      <c r="C120" t="s">
        <v>97</v>
      </c>
    </row>
  </sheetData>
  <mergeCells count="13">
    <mergeCell ref="A1:L1"/>
    <mergeCell ref="A70:C70"/>
    <mergeCell ref="B11:G11"/>
    <mergeCell ref="A111:C111"/>
    <mergeCell ref="A89:C89"/>
    <mergeCell ref="A37:C37"/>
    <mergeCell ref="E37:G37"/>
    <mergeCell ref="A46:C46"/>
    <mergeCell ref="A96:C96"/>
    <mergeCell ref="A109:J109"/>
    <mergeCell ref="A108:J108"/>
    <mergeCell ref="B2:C2"/>
    <mergeCell ref="E13:L1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workbookViewId="0">
      <selection activeCell="A14" sqref="A14"/>
    </sheetView>
  </sheetViews>
  <sheetFormatPr defaultRowHeight="14.4" x14ac:dyDescent="0.3"/>
  <cols>
    <col min="1" max="1" width="11" bestFit="1" customWidth="1"/>
    <col min="3" max="3" width="10.109375" customWidth="1"/>
  </cols>
  <sheetData>
    <row r="1" spans="1:3" x14ac:dyDescent="0.3">
      <c r="A1" t="s">
        <v>102</v>
      </c>
    </row>
    <row r="2" spans="1:3" x14ac:dyDescent="0.3">
      <c r="A2" t="s">
        <v>103</v>
      </c>
    </row>
    <row r="5" spans="1:3" x14ac:dyDescent="0.3">
      <c r="A5" t="s">
        <v>104</v>
      </c>
      <c r="B5" t="s">
        <v>105</v>
      </c>
      <c r="C5" t="s">
        <v>106</v>
      </c>
    </row>
    <row r="6" spans="1:3" x14ac:dyDescent="0.3">
      <c r="A6">
        <v>20</v>
      </c>
      <c r="B6">
        <v>200</v>
      </c>
      <c r="C6" s="10">
        <f t="shared" ref="C6:C11" si="0">201.73*EXP(-0.0004*A6)</f>
        <v>200.12259818008025</v>
      </c>
    </row>
    <row r="7" spans="1:3" x14ac:dyDescent="0.3">
      <c r="A7">
        <v>100</v>
      </c>
      <c r="B7">
        <v>194</v>
      </c>
      <c r="C7" s="10">
        <f t="shared" si="0"/>
        <v>193.82005356019815</v>
      </c>
    </row>
    <row r="8" spans="1:3" x14ac:dyDescent="0.3">
      <c r="A8">
        <v>200</v>
      </c>
      <c r="B8">
        <v>186</v>
      </c>
      <c r="C8" s="10">
        <f t="shared" si="0"/>
        <v>186.22026055657602</v>
      </c>
    </row>
    <row r="9" spans="1:3" x14ac:dyDescent="0.3">
      <c r="A9">
        <v>300</v>
      </c>
      <c r="B9">
        <v>179</v>
      </c>
      <c r="C9" s="10">
        <f t="shared" si="0"/>
        <v>178.91845969895218</v>
      </c>
    </row>
    <row r="10" spans="1:3" x14ac:dyDescent="0.3">
      <c r="A10">
        <v>400</v>
      </c>
      <c r="B10">
        <v>172</v>
      </c>
      <c r="C10" s="10">
        <f t="shared" si="0"/>
        <v>171.90296654815381</v>
      </c>
    </row>
    <row r="11" spans="1:3" x14ac:dyDescent="0.3">
      <c r="A11">
        <v>500</v>
      </c>
      <c r="B11">
        <v>165</v>
      </c>
      <c r="C11" s="10">
        <f t="shared" si="0"/>
        <v>165.16255481842126</v>
      </c>
    </row>
    <row r="14" spans="1:3" x14ac:dyDescent="0.3">
      <c r="A14">
        <f>'EJMA unreinforced circular'!B4</f>
        <v>68</v>
      </c>
      <c r="B14" t="s">
        <v>107</v>
      </c>
    </row>
    <row r="15" spans="1:3" x14ac:dyDescent="0.3">
      <c r="A15">
        <f>(A14-32)*5/9</f>
        <v>20</v>
      </c>
      <c r="B15" t="s">
        <v>104</v>
      </c>
    </row>
    <row r="16" spans="1:3" x14ac:dyDescent="0.3">
      <c r="A16">
        <f>201.73*EXP(-0.0004*A15)</f>
        <v>200.12259818008025</v>
      </c>
      <c r="B16" t="s">
        <v>105</v>
      </c>
    </row>
    <row r="17" spans="1:2" x14ac:dyDescent="0.3">
      <c r="A17" s="12">
        <f>A16*145037.738</f>
        <v>29025328.962721758</v>
      </c>
      <c r="B17" t="s">
        <v>108</v>
      </c>
    </row>
    <row r="19" spans="1:2" x14ac:dyDescent="0.3">
      <c r="A19" s="9" t="s">
        <v>109</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defaultRowHeight="14.4" x14ac:dyDescent="0.3"/>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FC expansion requirements</vt:lpstr>
      <vt:lpstr>A+ Bellows</vt:lpstr>
      <vt:lpstr>Guide Spacing</vt:lpstr>
      <vt:lpstr>EJMA unreinforced circular</vt:lpstr>
      <vt:lpstr>Eb vs T</vt:lpstr>
      <vt:lpstr>Cp, Figure C24</vt:lpstr>
      <vt:lpstr>Cf, Figure C25</vt:lpstr>
      <vt:lpstr>Cd, Figure C26</vt:lpstr>
      <vt:lpstr>Nc, Figure C28</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coyne</dc:creator>
  <cp:lastModifiedBy>coyne</cp:lastModifiedBy>
  <dcterms:created xsi:type="dcterms:W3CDTF">2015-04-15T22:02:43Z</dcterms:created>
  <dcterms:modified xsi:type="dcterms:W3CDTF">2020-07-03T18:06:43Z</dcterms:modified>
</cp:coreProperties>
</file>