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C:\Users\daniel.sigg\Documents\Protel\EtherCAT\Concentrator\ConcentratorOmcPzt\Project Outputs for ConcentratorOmcPzt\"/>
    </mc:Choice>
  </mc:AlternateContent>
  <bookViews>
    <workbookView xWindow="-20" yWindow="-20" windowWidth="7970" windowHeight="11360"/>
  </bookViews>
  <sheets>
    <sheet name="Part List Report" sheetId="3" r:id="rId1"/>
  </sheets>
  <calcPr calcId="162913"/>
</workbook>
</file>

<file path=xl/calcChain.xml><?xml version="1.0" encoding="utf-8"?>
<calcChain xmlns="http://schemas.openxmlformats.org/spreadsheetml/2006/main">
  <c r="K33" i="3" l="1"/>
  <c r="J33" i="3"/>
  <c r="K32" i="3"/>
  <c r="J32" i="3"/>
  <c r="K31" i="3"/>
  <c r="J31" i="3"/>
  <c r="K30" i="3"/>
  <c r="J30" i="3"/>
  <c r="K29" i="3"/>
  <c r="J29" i="3"/>
  <c r="K28" i="3"/>
  <c r="J28" i="3"/>
  <c r="K27" i="3"/>
  <c r="J27" i="3"/>
  <c r="K26" i="3"/>
  <c r="J26" i="3"/>
  <c r="K25" i="3"/>
  <c r="J25" i="3"/>
  <c r="K24" i="3"/>
  <c r="J24" i="3"/>
  <c r="K23" i="3"/>
  <c r="J23" i="3"/>
  <c r="K22" i="3"/>
  <c r="J22" i="3"/>
  <c r="K21" i="3"/>
  <c r="J21" i="3"/>
  <c r="K20" i="3"/>
  <c r="J20" i="3"/>
  <c r="K19" i="3"/>
  <c r="J19" i="3"/>
  <c r="K18" i="3"/>
  <c r="J18" i="3"/>
  <c r="K17" i="3"/>
  <c r="J17" i="3"/>
  <c r="K16" i="3"/>
  <c r="J16" i="3"/>
  <c r="K15" i="3"/>
  <c r="J15" i="3"/>
  <c r="K14" i="3"/>
  <c r="J14" i="3"/>
  <c r="K13" i="3"/>
  <c r="J13" i="3"/>
  <c r="K12" i="3"/>
  <c r="J12" i="3"/>
  <c r="L22" i="3" l="1"/>
  <c r="M22" i="3" s="1"/>
  <c r="L26" i="3"/>
  <c r="M26" i="3" s="1"/>
  <c r="L30" i="3"/>
  <c r="M30" i="3" s="1"/>
  <c r="L14" i="3"/>
  <c r="M14" i="3" s="1"/>
  <c r="L15" i="3"/>
  <c r="M15" i="3" s="1"/>
  <c r="L19" i="3"/>
  <c r="M19" i="3" s="1"/>
  <c r="L23" i="3"/>
  <c r="M23" i="3" s="1"/>
  <c r="L27" i="3"/>
  <c r="M27" i="3" s="1"/>
  <c r="L31" i="3"/>
  <c r="M31" i="3" s="1"/>
  <c r="L12" i="3"/>
  <c r="M12" i="3" s="1"/>
  <c r="L16" i="3"/>
  <c r="M16" i="3" s="1"/>
  <c r="L20" i="3"/>
  <c r="M20" i="3" s="1"/>
  <c r="L24" i="3"/>
  <c r="M24" i="3" s="1"/>
  <c r="L28" i="3"/>
  <c r="M28" i="3" s="1"/>
  <c r="L32" i="3"/>
  <c r="M32" i="3" s="1"/>
  <c r="L18" i="3"/>
  <c r="M18" i="3" s="1"/>
  <c r="L13" i="3"/>
  <c r="M13" i="3" s="1"/>
  <c r="L17" i="3"/>
  <c r="M17" i="3" s="1"/>
  <c r="L21" i="3"/>
  <c r="M21" i="3" s="1"/>
  <c r="L25" i="3"/>
  <c r="M25" i="3" s="1"/>
  <c r="L29" i="3"/>
  <c r="M29" i="3" s="1"/>
  <c r="L33" i="3"/>
  <c r="M33" i="3" s="1"/>
  <c r="J11" i="3"/>
  <c r="K11" i="3"/>
  <c r="K10" i="3"/>
  <c r="J10" i="3"/>
  <c r="E44" i="3"/>
  <c r="E43" i="3"/>
  <c r="E42" i="3"/>
  <c r="E41" i="3"/>
  <c r="E40" i="3"/>
  <c r="E39" i="3"/>
  <c r="B34" i="3"/>
  <c r="D8" i="3"/>
  <c r="E8" i="3"/>
  <c r="L10" i="3" l="1"/>
  <c r="L11" i="3"/>
  <c r="M11" i="3" s="1"/>
  <c r="M10" i="3"/>
</calcChain>
</file>

<file path=xl/sharedStrings.xml><?xml version="1.0" encoding="utf-8"?>
<sst xmlns="http://schemas.openxmlformats.org/spreadsheetml/2006/main" count="203" uniqueCount="136">
  <si>
    <t>Project:</t>
  </si>
  <si>
    <t>Print Date:</t>
  </si>
  <si>
    <t>Report Date:</t>
  </si>
  <si>
    <t>Total # of unique parts</t>
  </si>
  <si>
    <t>SMT Placements per board</t>
  </si>
  <si>
    <t>Thru-Hole placement per board</t>
  </si>
  <si>
    <t>Fine pitch placement per board</t>
  </si>
  <si>
    <t>BGA placement per board</t>
  </si>
  <si>
    <t>Summary per Board</t>
  </si>
  <si>
    <t>Total pieces</t>
  </si>
  <si>
    <t>Quantity to Order</t>
  </si>
  <si>
    <t>Author:</t>
  </si>
  <si>
    <t>Revision</t>
  </si>
  <si>
    <t>LIGO Project</t>
  </si>
  <si>
    <t>Bill of Materials</t>
  </si>
  <si>
    <t>Number of boards</t>
  </si>
  <si>
    <t>Mechanical placement per board</t>
  </si>
  <si>
    <t>Extra</t>
  </si>
  <si>
    <t>Excess</t>
  </si>
  <si>
    <t>Add</t>
  </si>
  <si>
    <t>D2400560</t>
  </si>
  <si>
    <t>1</t>
  </si>
  <si>
    <t>ConcentratorOmcPzt.PrjPCB</t>
  </si>
  <si>
    <t>2</t>
  </si>
  <si>
    <t>Daniel Sigg</t>
  </si>
  <si>
    <t>8/5/2024</t>
  </si>
  <si>
    <t>4:19 PM</t>
  </si>
  <si>
    <t>Quantity</t>
  </si>
  <si>
    <t>Distributor</t>
  </si>
  <si>
    <t>LIGO</t>
  </si>
  <si>
    <t>Mouser</t>
  </si>
  <si>
    <t>Field Components</t>
  </si>
  <si>
    <t>McMaster-Carr</t>
  </si>
  <si>
    <t>L-Com</t>
  </si>
  <si>
    <t>Frontpanel Express</t>
  </si>
  <si>
    <t>Part Number</t>
  </si>
  <si>
    <t>D2400250-v1</t>
  </si>
  <si>
    <t>D2400252-v1</t>
  </si>
  <si>
    <t>534-9106</t>
  </si>
  <si>
    <t>54FL-TF405-12FK-0.33</t>
  </si>
  <si>
    <t>2053T-440-AL-7</t>
  </si>
  <si>
    <t>D2400258-v1</t>
  </si>
  <si>
    <t>534-9121</t>
  </si>
  <si>
    <t>571-330620</t>
  </si>
  <si>
    <t>90272A105</t>
  </si>
  <si>
    <t>D2400259-v1</t>
  </si>
  <si>
    <t>91113A005</t>
  </si>
  <si>
    <t>SDG450XS</t>
  </si>
  <si>
    <t>571-5747840-4</t>
  </si>
  <si>
    <t>571-5747844-4</t>
  </si>
  <si>
    <t>571-5747842-4</t>
  </si>
  <si>
    <t>571-5747846-4</t>
  </si>
  <si>
    <t>538-73415-3310</t>
  </si>
  <si>
    <t>200-SLW10601SD</t>
  </si>
  <si>
    <t>200-TSW10606GD</t>
  </si>
  <si>
    <t>91099A205</t>
  </si>
  <si>
    <t>Housing bracket 8 x per unit, natural anodized</t>
  </si>
  <si>
    <t>Assembly kit ISP/B3.0-NI DIN 7982, nickel-plated</t>
  </si>
  <si>
    <t>Screw packet M3x6-965-NI DIN 965, nickel-plated</t>
  </si>
  <si>
    <t>Side profile 1, 63.5mm</t>
  </si>
  <si>
    <t>Comment</t>
  </si>
  <si>
    <t>Front Panel</t>
  </si>
  <si>
    <t>Rear Panel</t>
  </si>
  <si>
    <t>Handle, 1.25"</t>
  </si>
  <si>
    <t>TNC-SMP cable</t>
  </si>
  <si>
    <t>#4 standoff, 9/32"</t>
  </si>
  <si>
    <t>Top Panel</t>
  </si>
  <si>
    <t>Ferrule, 0.25"</t>
  </si>
  <si>
    <t>Insulating Bushing</t>
  </si>
  <si>
    <t>#4 screw, 3/16"</t>
  </si>
  <si>
    <t>Bottom Panel</t>
  </si>
  <si>
    <t>#4 lock washer</t>
  </si>
  <si>
    <t>Jack screw</t>
  </si>
  <si>
    <t>DB9M</t>
  </si>
  <si>
    <t>DB9F</t>
  </si>
  <si>
    <t>DB25M</t>
  </si>
  <si>
    <t>DB25F</t>
  </si>
  <si>
    <t>SMP</t>
  </si>
  <si>
    <t>SLW-106-01-S-D</t>
  </si>
  <si>
    <t>TSW-106-06-G-D</t>
  </si>
  <si>
    <t>#6-32 1/4" flat</t>
  </si>
  <si>
    <t>Housing bracket</t>
  </si>
  <si>
    <t>Assembly kit</t>
  </si>
  <si>
    <t>Screw kit</t>
  </si>
  <si>
    <t>Side profile</t>
  </si>
  <si>
    <t>Description</t>
  </si>
  <si>
    <t>Mounting hardware</t>
  </si>
  <si>
    <t>Rack handle 1.5U</t>
  </si>
  <si>
    <t>SMP Right Angle Female Plug To TNC Female Bulkhead Jack TFLEX-405 Coaxial Cable Assembly</t>
  </si>
  <si>
    <t>Ferrule</t>
  </si>
  <si>
    <t xml:space="preserve">RF Connector Accessories Insulating Bushing TE 330620 </t>
  </si>
  <si>
    <t>Plug Assembly, 9 Position, Right Angle, .318 Series</t>
  </si>
  <si>
    <t>Receptacle Assembly, 9 Position, Right Angle, .318 Series</t>
  </si>
  <si>
    <t>Plug Assembly, 25 Position, Right Angle, .318 Series</t>
  </si>
  <si>
    <t>Receptacle Assembly, 25 Position, Right Angle, .318 Series</t>
  </si>
  <si>
    <t>SMP, PCB Mount</t>
  </si>
  <si>
    <t>Connector</t>
  </si>
  <si>
    <t>#6-32 1/4" flat head screw</t>
  </si>
  <si>
    <t>Housing bracket, 8 pieces</t>
  </si>
  <si>
    <t>Side profile 1, anodized, 150mm</t>
  </si>
  <si>
    <t>Designator</t>
  </si>
  <si>
    <t>H1</t>
  </si>
  <si>
    <t>H2</t>
  </si>
  <si>
    <t>H3, H4</t>
  </si>
  <si>
    <t>H5, H6</t>
  </si>
  <si>
    <t>H7, H8, H9</t>
  </si>
  <si>
    <t>H10</t>
  </si>
  <si>
    <t>H11, H12, H13, H14</t>
  </si>
  <si>
    <t>H15, H16, H24, H25</t>
  </si>
  <si>
    <t>H17, H18, H19, H20, H21, H22</t>
  </si>
  <si>
    <t>H23</t>
  </si>
  <si>
    <t>H26, H27, H28, H29, H30, H31</t>
  </si>
  <si>
    <t>H32, H33, H34, H35, H36, H37, H38, H39, H40, H41, H42, H43, H44, H45, H46, H47, H48, H49, H50, H51, H52, H53, H54, H55, H56, H57, H58, H59, H60, H61, H62, H63, H64, H65</t>
  </si>
  <si>
    <t>J1, J3, J5, J8, J21, J23, J25</t>
  </si>
  <si>
    <t>J2, J4, J6, J7, J22, J24, J26</t>
  </si>
  <si>
    <t>J9, J10</t>
  </si>
  <si>
    <t>J11</t>
  </si>
  <si>
    <t>J12, J28</t>
  </si>
  <si>
    <t>J16</t>
  </si>
  <si>
    <t>J27</t>
  </si>
  <si>
    <t>M1, M2, M3, M4</t>
  </si>
  <si>
    <t>PN1</t>
  </si>
  <si>
    <t>PN2</t>
  </si>
  <si>
    <t>PN3</t>
  </si>
  <si>
    <t>PN4, PN5</t>
  </si>
  <si>
    <t>Footprint</t>
  </si>
  <si>
    <t/>
  </si>
  <si>
    <t>DB9M-RA</t>
  </si>
  <si>
    <t>DB9F-RA</t>
  </si>
  <si>
    <t>DB25M-RA</t>
  </si>
  <si>
    <t>DB25F-RA</t>
  </si>
  <si>
    <t>SLW-106-01-X-D</t>
  </si>
  <si>
    <t>HDRV12W64P254_2X6_1524X495X521P</t>
  </si>
  <si>
    <t>Assembly Type</t>
  </si>
  <si>
    <t>M</t>
  </si>
  <si>
    <t>TH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</si>
</sst>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[$-C09]dd\-mmm\-yy;@"/>
    <numFmt numFmtId="165" formatCode="[$-409]h:mm:ss\ AM/PM;@"/>
  </numFmts>
  <fonts count="16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8"/>
      <color indexed="13"/>
      <name val="Arial"/>
      <family val="2"/>
    </font>
    <font>
      <sz val="10"/>
      <color indexed="13"/>
      <name val="Arial"/>
      <family val="2"/>
    </font>
    <font>
      <b/>
      <sz val="10"/>
      <color indexed="10"/>
      <name val="Arial"/>
      <family val="2"/>
    </font>
    <font>
      <sz val="10"/>
      <color indexed="10"/>
      <name val="Arial"/>
      <family val="2"/>
    </font>
    <font>
      <sz val="9"/>
      <color indexed="10"/>
      <name val="Arial"/>
      <family val="2"/>
    </font>
    <font>
      <b/>
      <sz val="24"/>
      <color indexed="10"/>
      <name val="Arial"/>
      <family val="2"/>
    </font>
    <font>
      <b/>
      <sz val="12"/>
      <color indexed="10"/>
      <name val="Arial"/>
      <family val="2"/>
    </font>
    <font>
      <b/>
      <sz val="16"/>
      <color indexed="48"/>
      <name val="Arial"/>
      <family val="2"/>
    </font>
    <font>
      <b/>
      <sz val="18"/>
      <color indexed="48"/>
      <name val="Arial"/>
      <family val="2"/>
    </font>
    <font>
      <sz val="14"/>
      <name val="Arial"/>
      <family val="2"/>
    </font>
    <font>
      <sz val="12"/>
      <name val="Arial"/>
      <family val="2"/>
    </font>
    <font>
      <b/>
      <sz val="16"/>
      <color indexed="48"/>
      <name val="Arial"/>
      <family val="2"/>
    </font>
    <font>
      <sz val="8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64">
    <xf numFmtId="0" fontId="0" fillId="0" borderId="0" xfId="0"/>
    <xf numFmtId="0" fontId="0" fillId="0" borderId="0" xfId="0" applyAlignment="1">
      <alignment vertical="top"/>
    </xf>
    <xf numFmtId="0" fontId="2" fillId="0" borderId="0" xfId="0" applyFont="1" applyAlignment="1">
      <alignment vertical="center"/>
    </xf>
    <xf numFmtId="0" fontId="0" fillId="0" borderId="0" xfId="0" applyAlignment="1">
      <alignment horizontal="left" vertical="top"/>
    </xf>
    <xf numFmtId="0" fontId="5" fillId="2" borderId="0" xfId="0" applyFont="1" applyFill="1" applyBorder="1" applyAlignment="1"/>
    <xf numFmtId="0" fontId="6" fillId="2" borderId="0" xfId="0" applyFont="1" applyFill="1" applyBorder="1" applyAlignment="1">
      <alignment horizontal="left"/>
    </xf>
    <xf numFmtId="0" fontId="6" fillId="2" borderId="0" xfId="0" applyFont="1" applyFill="1" applyBorder="1" applyAlignment="1"/>
    <xf numFmtId="0" fontId="5" fillId="2" borderId="1" xfId="0" applyFont="1" applyFill="1" applyBorder="1" applyAlignment="1">
      <alignment horizontal="left"/>
    </xf>
    <xf numFmtId="0" fontId="6" fillId="2" borderId="1" xfId="0" applyFont="1" applyFill="1" applyBorder="1" applyAlignment="1"/>
    <xf numFmtId="0" fontId="5" fillId="2" borderId="1" xfId="0" applyFont="1" applyFill="1" applyBorder="1" applyAlignment="1"/>
    <xf numFmtId="0" fontId="6" fillId="2" borderId="1" xfId="0" applyFont="1" applyFill="1" applyBorder="1" applyAlignment="1">
      <alignment horizontal="left"/>
    </xf>
    <xf numFmtId="0" fontId="7" fillId="2" borderId="0" xfId="0" applyFont="1" applyFill="1" applyBorder="1" applyAlignment="1"/>
    <xf numFmtId="0" fontId="9" fillId="2" borderId="0" xfId="0" applyFont="1" applyFill="1" applyBorder="1" applyAlignment="1"/>
    <xf numFmtId="0" fontId="4" fillId="2" borderId="3" xfId="0" applyFont="1" applyFill="1" applyBorder="1" applyAlignment="1"/>
    <xf numFmtId="0" fontId="4" fillId="2" borderId="0" xfId="0" applyFont="1" applyFill="1" applyBorder="1" applyAlignment="1"/>
    <xf numFmtId="0" fontId="6" fillId="2" borderId="2" xfId="0" applyFont="1" applyFill="1" applyBorder="1" applyAlignment="1"/>
    <xf numFmtId="0" fontId="0" fillId="0" borderId="4" xfId="0" applyBorder="1" applyAlignment="1">
      <alignment vertical="top"/>
    </xf>
    <xf numFmtId="0" fontId="0" fillId="0" borderId="0" xfId="0" applyBorder="1" applyAlignment="1">
      <alignment vertical="top"/>
    </xf>
    <xf numFmtId="0" fontId="9" fillId="2" borderId="0" xfId="0" applyFont="1" applyFill="1" applyBorder="1" applyAlignment="1">
      <alignment horizontal="left"/>
    </xf>
    <xf numFmtId="0" fontId="11" fillId="2" borderId="5" xfId="0" applyFont="1" applyFill="1" applyBorder="1" applyAlignment="1">
      <alignment vertical="center"/>
    </xf>
    <xf numFmtId="0" fontId="0" fillId="0" borderId="6" xfId="0" applyBorder="1" applyAlignment="1">
      <alignment vertical="top"/>
    </xf>
    <xf numFmtId="0" fontId="12" fillId="0" borderId="4" xfId="0" applyFont="1" applyFill="1" applyBorder="1" applyAlignment="1">
      <alignment horizontal="center" vertical="top"/>
    </xf>
    <xf numFmtId="0" fontId="12" fillId="0" borderId="0" xfId="0" applyFont="1" applyFill="1" applyAlignment="1">
      <alignment horizontal="center" vertical="top"/>
    </xf>
    <xf numFmtId="0" fontId="14" fillId="2" borderId="5" xfId="0" applyFont="1" applyFill="1" applyBorder="1" applyAlignment="1">
      <alignment vertical="center"/>
    </xf>
    <xf numFmtId="0" fontId="14" fillId="0" borderId="5" xfId="0" applyFont="1" applyBorder="1" applyAlignment="1">
      <alignment vertical="center"/>
    </xf>
    <xf numFmtId="0" fontId="0" fillId="0" borderId="3" xfId="0" applyBorder="1" applyAlignment="1">
      <alignment vertical="top"/>
    </xf>
    <xf numFmtId="0" fontId="10" fillId="2" borderId="8" xfId="0" applyFont="1" applyFill="1" applyBorder="1" applyAlignment="1">
      <alignment vertical="center"/>
    </xf>
    <xf numFmtId="0" fontId="8" fillId="2" borderId="5" xfId="0" applyFont="1" applyFill="1" applyBorder="1" applyAlignment="1">
      <alignment vertical="center"/>
    </xf>
    <xf numFmtId="0" fontId="0" fillId="0" borderId="11" xfId="0" applyBorder="1" applyAlignment="1">
      <alignment vertical="top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2" xfId="0" applyBorder="1" applyAlignment="1">
      <alignment vertical="top"/>
    </xf>
    <xf numFmtId="0" fontId="0" fillId="0" borderId="13" xfId="0" applyBorder="1" applyAlignment="1">
      <alignment vertical="top"/>
    </xf>
    <xf numFmtId="164" fontId="6" fillId="2" borderId="0" xfId="0" applyNumberFormat="1" applyFont="1" applyFill="1" applyBorder="1" applyAlignment="1">
      <alignment horizontal="left"/>
    </xf>
    <xf numFmtId="0" fontId="0" fillId="4" borderId="4" xfId="0" applyFill="1" applyBorder="1" applyAlignment="1">
      <alignment vertical="top"/>
    </xf>
    <xf numFmtId="0" fontId="0" fillId="4" borderId="12" xfId="0" applyFill="1" applyBorder="1" applyAlignment="1">
      <alignment vertical="top"/>
    </xf>
    <xf numFmtId="1" fontId="0" fillId="4" borderId="12" xfId="0" applyNumberFormat="1" applyFill="1" applyBorder="1" applyAlignment="1">
      <alignment horizontal="center" vertical="top"/>
    </xf>
    <xf numFmtId="0" fontId="0" fillId="4" borderId="12" xfId="0" applyFill="1" applyBorder="1" applyAlignment="1">
      <alignment horizontal="center"/>
    </xf>
    <xf numFmtId="0" fontId="1" fillId="3" borderId="0" xfId="0" applyFont="1" applyFill="1" applyBorder="1" applyAlignment="1">
      <alignment vertical="center"/>
    </xf>
    <xf numFmtId="0" fontId="3" fillId="6" borderId="16" xfId="0" applyFont="1" applyFill="1" applyBorder="1" applyAlignment="1">
      <alignment horizontal="center" vertical="center" wrapText="1"/>
    </xf>
    <xf numFmtId="0" fontId="3" fillId="6" borderId="17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15" fillId="5" borderId="15" xfId="0" applyFont="1" applyFill="1" applyBorder="1" applyAlignment="1">
      <alignment horizontal="right" vertical="center"/>
    </xf>
    <xf numFmtId="1" fontId="15" fillId="3" borderId="18" xfId="0" applyNumberFormat="1" applyFont="1" applyFill="1" applyBorder="1" applyAlignment="1">
      <alignment horizontal="center" vertical="top"/>
    </xf>
    <xf numFmtId="0" fontId="15" fillId="3" borderId="19" xfId="0" applyFont="1" applyFill="1" applyBorder="1" applyAlignment="1">
      <alignment vertical="top"/>
    </xf>
    <xf numFmtId="0" fontId="15" fillId="3" borderId="19" xfId="0" applyNumberFormat="1" applyFont="1" applyFill="1" applyBorder="1" applyAlignment="1">
      <alignment vertical="top"/>
    </xf>
    <xf numFmtId="0" fontId="15" fillId="3" borderId="20" xfId="0" applyFont="1" applyFill="1" applyBorder="1" applyAlignment="1">
      <alignment vertical="top"/>
    </xf>
    <xf numFmtId="0" fontId="15" fillId="0" borderId="0" xfId="0" applyFont="1" applyFill="1"/>
    <xf numFmtId="49" fontId="15" fillId="0" borderId="0" xfId="0" applyNumberFormat="1" applyFont="1" applyFill="1" applyAlignment="1">
      <alignment wrapText="1"/>
    </xf>
    <xf numFmtId="9" fontId="15" fillId="0" borderId="0" xfId="0" applyNumberFormat="1" applyFont="1" applyFill="1"/>
    <xf numFmtId="1" fontId="15" fillId="0" borderId="0" xfId="0" applyNumberFormat="1" applyFont="1" applyFill="1"/>
    <xf numFmtId="0" fontId="13" fillId="4" borderId="9" xfId="0" applyFont="1" applyFill="1" applyBorder="1" applyAlignment="1">
      <alignment horizontal="center" vertical="center"/>
    </xf>
    <xf numFmtId="0" fontId="13" fillId="4" borderId="10" xfId="0" applyFont="1" applyFill="1" applyBorder="1" applyAlignment="1">
      <alignment horizontal="center" vertical="center"/>
    </xf>
    <xf numFmtId="165" fontId="6" fillId="2" borderId="0" xfId="0" applyNumberFormat="1" applyFont="1" applyFill="1" applyBorder="1" applyAlignment="1">
      <alignment horizontal="left"/>
    </xf>
    <xf numFmtId="0" fontId="0" fillId="0" borderId="0" xfId="0" applyBorder="1" applyAlignment="1"/>
    <xf numFmtId="0" fontId="12" fillId="6" borderId="9" xfId="0" applyFont="1" applyFill="1" applyBorder="1" applyAlignment="1">
      <alignment horizontal="center" vertical="top" wrapText="1"/>
    </xf>
    <xf numFmtId="0" fontId="0" fillId="6" borderId="14" xfId="0" applyFill="1" applyBorder="1" applyAlignment="1">
      <alignment vertical="top"/>
    </xf>
    <xf numFmtId="0" fontId="0" fillId="6" borderId="10" xfId="0" applyFill="1" applyBorder="1" applyAlignment="1">
      <alignment vertical="top"/>
    </xf>
    <xf numFmtId="0" fontId="10" fillId="2" borderId="5" xfId="0" quotePrefix="1" applyFont="1" applyFill="1" applyBorder="1" applyAlignment="1">
      <alignment vertical="center"/>
    </xf>
    <xf numFmtId="0" fontId="14" fillId="0" borderId="5" xfId="0" quotePrefix="1" applyFont="1" applyBorder="1" applyAlignment="1">
      <alignment vertical="center"/>
    </xf>
    <xf numFmtId="0" fontId="9" fillId="2" borderId="1" xfId="0" quotePrefix="1" applyFont="1" applyFill="1" applyBorder="1" applyAlignment="1">
      <alignment horizontal="left"/>
    </xf>
    <xf numFmtId="1" fontId="1" fillId="5" borderId="7" xfId="0" quotePrefix="1" applyNumberFormat="1" applyFont="1" applyFill="1" applyBorder="1" applyAlignment="1">
      <alignment horizontal="right" vertical="center"/>
    </xf>
    <xf numFmtId="0" fontId="9" fillId="2" borderId="2" xfId="0" quotePrefix="1" applyFont="1" applyFill="1" applyBorder="1" applyAlignment="1">
      <alignment horizontal="left"/>
    </xf>
    <xf numFmtId="0" fontId="6" fillId="2" borderId="2" xfId="0" quotePrefix="1" applyFont="1" applyFill="1" applyBorder="1" applyAlignment="1">
      <alignment horizontal="left"/>
    </xf>
  </cellXfs>
  <cellStyles count="1">
    <cellStyle name="Normal" xfId="0" builtinId="0"/>
  </cellStyles>
  <dxfs count="40">
    <dxf>
      <fill>
        <patternFill>
          <bgColor theme="0"/>
        </patternFill>
      </fill>
    </dxf>
    <dxf>
      <fill>
        <patternFill>
          <bgColor theme="4" tint="0.79998168889431442"/>
        </patternFill>
      </fill>
    </dxf>
    <dxf>
      <fill>
        <patternFill>
          <bgColor theme="0"/>
        </patternFill>
      </fill>
    </dxf>
    <dxf>
      <fill>
        <patternFill>
          <bgColor theme="4" tint="0.79998168889431442"/>
        </patternFill>
      </fill>
    </dxf>
    <dxf>
      <fill>
        <patternFill>
          <bgColor theme="0"/>
        </patternFill>
      </fill>
    </dxf>
    <dxf>
      <fill>
        <patternFill>
          <bgColor theme="4" tint="0.79998168889431442"/>
        </patternFill>
      </fill>
    </dxf>
    <dxf>
      <fill>
        <patternFill>
          <bgColor theme="0"/>
        </patternFill>
      </fill>
    </dxf>
    <dxf>
      <fill>
        <patternFill>
          <bgColor theme="4" tint="0.79998168889431442"/>
        </patternFill>
      </fill>
    </dxf>
    <dxf>
      <fill>
        <patternFill>
          <bgColor theme="0"/>
        </patternFill>
      </fill>
    </dxf>
    <dxf>
      <fill>
        <patternFill>
          <bgColor theme="4" tint="0.79998168889431442"/>
        </patternFill>
      </fill>
    </dxf>
    <dxf>
      <fill>
        <patternFill>
          <bgColor theme="0"/>
        </patternFill>
      </fill>
    </dxf>
    <dxf>
      <fill>
        <patternFill>
          <bgColor theme="4" tint="0.79998168889431442"/>
        </patternFill>
      </fill>
    </dxf>
    <dxf>
      <fill>
        <patternFill>
          <bgColor theme="0"/>
        </patternFill>
      </fill>
    </dxf>
    <dxf>
      <fill>
        <patternFill>
          <bgColor theme="4" tint="0.79998168889431442"/>
        </patternFill>
      </fill>
    </dxf>
    <dxf>
      <fill>
        <patternFill>
          <bgColor theme="0"/>
        </patternFill>
      </fill>
    </dxf>
    <dxf>
      <fill>
        <patternFill>
          <bgColor theme="4" tint="0.79998168889431442"/>
        </patternFill>
      </fill>
    </dxf>
    <dxf>
      <fill>
        <patternFill>
          <bgColor theme="0"/>
        </patternFill>
      </fill>
    </dxf>
    <dxf>
      <fill>
        <patternFill>
          <bgColor theme="4" tint="0.79998168889431442"/>
        </patternFill>
      </fill>
    </dxf>
    <dxf>
      <fill>
        <patternFill>
          <bgColor theme="0"/>
        </patternFill>
      </fill>
    </dxf>
    <dxf>
      <fill>
        <patternFill>
          <bgColor theme="4" tint="0.79998168889431442"/>
        </patternFill>
      </fill>
    </dxf>
    <dxf>
      <fill>
        <patternFill>
          <bgColor theme="0"/>
        </patternFill>
      </fill>
    </dxf>
    <dxf>
      <fill>
        <patternFill>
          <bgColor theme="4" tint="0.79998168889431442"/>
        </patternFill>
      </fill>
    </dxf>
    <dxf>
      <fill>
        <patternFill>
          <bgColor theme="0"/>
        </patternFill>
      </fill>
    </dxf>
    <dxf>
      <fill>
        <patternFill>
          <bgColor theme="4" tint="0.7999816888943144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solid">
          <fgColor indexed="64"/>
          <bgColor theme="4" tint="0.59999389629810485"/>
        </patternFill>
      </fill>
      <alignment horizontal="right" vertical="center" textRotation="0" wrapText="0" indent="0" justifyLastLine="0" shrinkToFit="0" readingOrder="0"/>
      <border diagonalUp="0" diagonalDown="0" outline="0">
        <left style="hair">
          <color indexed="64"/>
        </left>
        <right/>
        <top/>
        <bottom style="hair">
          <color indexed="64"/>
        </bottom>
      </border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border outline="0"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indexed="13"/>
        <name val="Arial"/>
        <scheme val="none"/>
      </font>
      <fill>
        <patternFill patternType="solid">
          <fgColor indexed="64"/>
          <bgColor theme="4" tint="0.39997558519241921"/>
        </patternFill>
      </fill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CE9D8"/>
      <rgbColor rgb="00000000"/>
      <rgbColor rgb="00ECE9D8"/>
      <rgbColor rgb="00000000"/>
      <rgbColor rgb="00FFFFFF"/>
      <rgbColor rgb="00000000"/>
      <rgbColor rgb="00FFFFFF"/>
      <rgbColor rgb="00000000"/>
      <rgbColor rgb="00ECE9D8"/>
      <rgbColor rgb="00000000"/>
      <rgbColor rgb="00F1EFE2"/>
      <rgbColor rgb="0000000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2" name="Table2" displayName="Table2" ref="B9:M34" totalsRowShown="0" headerRowDxfId="39" dataDxfId="37" headerRowBorderDxfId="38" tableBorderDxfId="36">
  <autoFilter ref="B9:M34"/>
  <tableColumns count="12">
    <tableColumn id="1" name="Quantity" dataDxfId="35"/>
    <tableColumn id="2" name="Distributor" dataDxfId="34"/>
    <tableColumn id="3" name="Part Number" dataDxfId="33"/>
    <tableColumn id="4" name="Comment" dataDxfId="32"/>
    <tableColumn id="5" name="Description" dataDxfId="31"/>
    <tableColumn id="6" name="Designator" dataDxfId="30"/>
    <tableColumn id="7" name="Footprint" dataDxfId="29"/>
    <tableColumn id="8" name="Assembly Type" dataDxfId="28"/>
    <tableColumn id="9" name="Extra" dataDxfId="27"/>
    <tableColumn id="10" name="Excess" dataDxfId="26"/>
    <tableColumn id="11" name="Add" dataDxfId="25"/>
    <tableColumn id="12" name="Quantity to Order" dataDxfId="24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M44"/>
  <sheetViews>
    <sheetView showGridLines="0" tabSelected="1" zoomScaleNormal="100" workbookViewId="0">
      <selection activeCell="I4" sqref="I4"/>
    </sheetView>
  </sheetViews>
  <sheetFormatPr defaultColWidth="9.1796875" defaultRowHeight="12.5" x14ac:dyDescent="0.25"/>
  <cols>
    <col min="1" max="1" width="0.81640625" style="1" customWidth="1"/>
    <col min="2" max="2" width="7.26953125" style="3" customWidth="1"/>
    <col min="3" max="3" width="18.54296875" style="3" customWidth="1"/>
    <col min="4" max="4" width="24.81640625" style="1" customWidth="1"/>
    <col min="5" max="5" width="18" style="1" customWidth="1"/>
    <col min="6" max="6" width="30.7265625" style="1" customWidth="1"/>
    <col min="7" max="7" width="40.7265625" style="1" customWidth="1"/>
    <col min="8" max="8" width="17.26953125" style="1" customWidth="1"/>
    <col min="9" max="9" width="5.453125" style="1" customWidth="1"/>
    <col min="10" max="10" width="7" style="1" customWidth="1"/>
    <col min="11" max="11" width="8.7265625" style="1" customWidth="1"/>
    <col min="12" max="12" width="6.7265625" style="1" customWidth="1"/>
    <col min="13" max="13" width="12.54296875" style="1" customWidth="1"/>
    <col min="14" max="16384" width="9.1796875" style="1"/>
  </cols>
  <sheetData>
    <row r="1" spans="1:13" ht="4.5" customHeight="1" thickBot="1" x14ac:dyDescent="0.3">
      <c r="A1" s="14"/>
      <c r="B1" s="14"/>
      <c r="C1" s="14"/>
      <c r="D1" s="14"/>
      <c r="E1" s="14"/>
      <c r="F1" s="14"/>
      <c r="G1" s="14"/>
      <c r="H1" s="14"/>
      <c r="I1" s="17"/>
      <c r="J1" s="17"/>
      <c r="K1" s="17"/>
      <c r="L1" s="17"/>
      <c r="M1" s="17"/>
    </row>
    <row r="2" spans="1:13" ht="37.5" customHeight="1" x14ac:dyDescent="0.25">
      <c r="A2" s="13"/>
      <c r="B2" s="26" t="s">
        <v>14</v>
      </c>
      <c r="C2" s="27"/>
      <c r="D2" s="19"/>
      <c r="E2" s="23" t="s">
        <v>13</v>
      </c>
      <c r="F2" s="19"/>
      <c r="G2" s="58" t="s">
        <v>20</v>
      </c>
      <c r="H2" s="23" t="s">
        <v>12</v>
      </c>
      <c r="I2" s="59" t="s">
        <v>21</v>
      </c>
      <c r="J2" s="24"/>
      <c r="K2" s="24"/>
      <c r="L2" s="24"/>
      <c r="M2" s="20"/>
    </row>
    <row r="3" spans="1:13" ht="23.25" customHeight="1" x14ac:dyDescent="0.35">
      <c r="A3" s="13"/>
      <c r="B3" s="12"/>
      <c r="C3" s="5"/>
      <c r="D3" s="18"/>
      <c r="E3" s="4"/>
      <c r="F3" s="4"/>
      <c r="G3" s="4"/>
      <c r="H3" s="4"/>
      <c r="I3" s="17"/>
      <c r="J3" s="17"/>
      <c r="K3" s="17"/>
      <c r="L3" s="17"/>
      <c r="M3" s="25"/>
    </row>
    <row r="4" spans="1:13" ht="17.25" customHeight="1" x14ac:dyDescent="0.35">
      <c r="A4" s="13"/>
      <c r="B4" s="12" t="s">
        <v>0</v>
      </c>
      <c r="C4" s="5"/>
      <c r="D4" s="60" t="s">
        <v>22</v>
      </c>
      <c r="E4" s="8"/>
      <c r="F4" s="6"/>
      <c r="G4" s="51" t="s">
        <v>15</v>
      </c>
      <c r="H4" s="52"/>
      <c r="I4" s="61" t="s">
        <v>23</v>
      </c>
      <c r="J4" s="38"/>
      <c r="K4" s="38"/>
      <c r="L4" s="38"/>
      <c r="M4" s="25"/>
    </row>
    <row r="5" spans="1:13" ht="17.25" customHeight="1" x14ac:dyDescent="0.35">
      <c r="A5" s="13"/>
      <c r="B5" s="12" t="s">
        <v>11</v>
      </c>
      <c r="C5" s="5"/>
      <c r="D5" s="62" t="s">
        <v>24</v>
      </c>
      <c r="E5" s="15"/>
      <c r="F5" s="6"/>
      <c r="G5" s="6"/>
      <c r="H5" s="6"/>
      <c r="I5" s="17"/>
      <c r="J5" s="17"/>
      <c r="K5" s="17"/>
      <c r="L5" s="17"/>
      <c r="M5" s="25"/>
    </row>
    <row r="6" spans="1:13" ht="13" x14ac:dyDescent="0.3">
      <c r="A6" s="13"/>
      <c r="B6" s="9"/>
      <c r="C6" s="7"/>
      <c r="D6" s="10"/>
      <c r="E6" s="8"/>
      <c r="F6" s="6"/>
      <c r="G6" s="6"/>
      <c r="H6" s="6"/>
      <c r="I6" s="17"/>
      <c r="J6" s="17"/>
      <c r="K6" s="17"/>
      <c r="L6" s="17"/>
      <c r="M6" s="25"/>
    </row>
    <row r="7" spans="1:13" ht="15.75" customHeight="1" x14ac:dyDescent="0.25">
      <c r="A7" s="13"/>
      <c r="B7" s="11" t="s">
        <v>2</v>
      </c>
      <c r="D7" s="63" t="s">
        <v>25</v>
      </c>
      <c r="E7" s="63" t="s">
        <v>26</v>
      </c>
      <c r="F7" s="11"/>
      <c r="G7" s="11"/>
      <c r="H7" s="11"/>
      <c r="I7" s="17"/>
      <c r="J7" s="17"/>
      <c r="K7" s="17"/>
      <c r="L7" s="17"/>
      <c r="M7" s="25"/>
    </row>
    <row r="8" spans="1:13" ht="15.75" customHeight="1" x14ac:dyDescent="0.25">
      <c r="A8" s="13"/>
      <c r="B8" s="6" t="s">
        <v>1</v>
      </c>
      <c r="D8" s="33">
        <f ca="1">TODAY()</f>
        <v>45509</v>
      </c>
      <c r="E8" s="53">
        <f ca="1">NOW()</f>
        <v>45509.679971527781</v>
      </c>
      <c r="F8" s="54"/>
      <c r="G8" s="11"/>
      <c r="H8" s="11"/>
      <c r="I8" s="17"/>
      <c r="J8" s="17"/>
      <c r="K8" s="17"/>
      <c r="L8" s="17"/>
      <c r="M8" s="25"/>
    </row>
    <row r="9" spans="1:13" s="2" customFormat="1" ht="24.75" customHeight="1" x14ac:dyDescent="0.25">
      <c r="A9" s="13"/>
      <c r="B9" s="39" t="s">
        <v>27</v>
      </c>
      <c r="C9" s="40" t="s">
        <v>28</v>
      </c>
      <c r="D9" s="40" t="s">
        <v>35</v>
      </c>
      <c r="E9" s="40" t="s">
        <v>60</v>
      </c>
      <c r="F9" s="40" t="s">
        <v>85</v>
      </c>
      <c r="G9" s="41" t="s">
        <v>100</v>
      </c>
      <c r="H9" s="40" t="s">
        <v>125</v>
      </c>
      <c r="I9" s="40" t="s">
        <v>133</v>
      </c>
      <c r="J9" s="41" t="s">
        <v>17</v>
      </c>
      <c r="K9" s="41" t="s">
        <v>18</v>
      </c>
      <c r="L9" s="41" t="s">
        <v>19</v>
      </c>
      <c r="M9" s="41" t="s">
        <v>10</v>
      </c>
    </row>
    <row r="10" spans="1:13" s="2" customFormat="1" ht="13" x14ac:dyDescent="0.25">
      <c r="A10" s="13"/>
      <c r="B10" s="47">
        <v>1</v>
      </c>
      <c r="C10" s="48" t="s">
        <v>29</v>
      </c>
      <c r="D10" s="48" t="s">
        <v>36</v>
      </c>
      <c r="E10" s="48" t="s">
        <v>61</v>
      </c>
      <c r="F10" s="48" t="s">
        <v>86</v>
      </c>
      <c r="G10" s="48" t="s">
        <v>101</v>
      </c>
      <c r="H10" s="48" t="s">
        <v>126</v>
      </c>
      <c r="I10" s="48" t="s">
        <v>134</v>
      </c>
      <c r="J10" s="50">
        <f>+IF(OR(I10="BGA",I10="FP",I10="TH"),1,IF($I$4*B10&lt;100,5,0))</f>
        <v>5</v>
      </c>
      <c r="K10" s="49">
        <f>+IF(AND(I10="",$I$4*B10&gt;100),0.05,0)</f>
        <v>0</v>
      </c>
      <c r="L10" s="50">
        <f>+ROUNDUP($I$4*B10*K10+J10,0)</f>
        <v>5</v>
      </c>
      <c r="M10" s="42">
        <f>+IF(OR(LEFT(G10&amp;"",1)="C",LEFT(G10&amp;"",1)="R"),ROUNDUP($I$4*B10+L10,-1),$I$4*B10+L10)</f>
        <v>7</v>
      </c>
    </row>
    <row r="11" spans="1:13" s="2" customFormat="1" ht="13" x14ac:dyDescent="0.25">
      <c r="A11" s="13"/>
      <c r="B11" s="47">
        <v>1</v>
      </c>
      <c r="C11" s="48" t="s">
        <v>29</v>
      </c>
      <c r="D11" s="48" t="s">
        <v>37</v>
      </c>
      <c r="E11" s="48" t="s">
        <v>62</v>
      </c>
      <c r="F11" s="48" t="s">
        <v>86</v>
      </c>
      <c r="G11" s="48" t="s">
        <v>102</v>
      </c>
      <c r="H11" s="48" t="s">
        <v>126</v>
      </c>
      <c r="I11" s="48" t="s">
        <v>134</v>
      </c>
      <c r="J11" s="50">
        <f t="shared" ref="J11:J33" si="0">+IF(OR(I11="BGA",I11="FP",I11="TH"),1,IF($I$4*B11&lt;100,5,0))</f>
        <v>5</v>
      </c>
      <c r="K11" s="49">
        <f t="shared" ref="K11:K33" si="1">+IF(AND(I11="",$I$4*B11&gt;100),0.05,0)</f>
        <v>0</v>
      </c>
      <c r="L11" s="50">
        <f t="shared" ref="L11:L33" si="2">+ROUNDUP($I$4*B11*K11+J11,0)</f>
        <v>5</v>
      </c>
      <c r="M11" s="42">
        <f t="shared" ref="M11:M33" si="3">+IF(OR(LEFT(G11&amp;"",1)="C",LEFT(G11&amp;"",1)="R"),ROUNDUP($I$4*B11+L11,-1),$I$4*B11+L11)</f>
        <v>7</v>
      </c>
    </row>
    <row r="12" spans="1:13" s="2" customFormat="1" ht="13" x14ac:dyDescent="0.25">
      <c r="A12" s="13"/>
      <c r="B12" s="47">
        <v>2</v>
      </c>
      <c r="C12" s="48" t="s">
        <v>30</v>
      </c>
      <c r="D12" s="48" t="s">
        <v>38</v>
      </c>
      <c r="E12" s="48" t="s">
        <v>63</v>
      </c>
      <c r="F12" s="48" t="s">
        <v>87</v>
      </c>
      <c r="G12" s="48" t="s">
        <v>103</v>
      </c>
      <c r="H12" s="48" t="s">
        <v>126</v>
      </c>
      <c r="I12" s="48" t="s">
        <v>134</v>
      </c>
      <c r="J12" s="50">
        <f>+IF(OR(I12="BGA",I12="FP",I12="TH"),1,IF($I$4*B12&lt;100,5,0))</f>
        <v>5</v>
      </c>
      <c r="K12" s="49">
        <f>+IF(AND(I12="",$I$4*B12&gt;100),0.05,0)</f>
        <v>0</v>
      </c>
      <c r="L12" s="50">
        <f>+ROUNDUP($I$4*B12*K12+J12,0)</f>
        <v>5</v>
      </c>
      <c r="M12" s="42">
        <f>+IF(OR(LEFT(G12&amp;"",1)="C",LEFT(G12&amp;"",1)="R"),ROUNDUP($I$4*B12+L12,-1),$I$4*B12+L12)</f>
        <v>9</v>
      </c>
    </row>
    <row r="13" spans="1:13" s="2" customFormat="1" ht="30.5" x14ac:dyDescent="0.25">
      <c r="A13" s="13"/>
      <c r="B13" s="47">
        <v>2</v>
      </c>
      <c r="C13" s="48" t="s">
        <v>31</v>
      </c>
      <c r="D13" s="48" t="s">
        <v>39</v>
      </c>
      <c r="E13" s="48" t="s">
        <v>64</v>
      </c>
      <c r="F13" s="48" t="s">
        <v>88</v>
      </c>
      <c r="G13" s="48" t="s">
        <v>104</v>
      </c>
      <c r="H13" s="48" t="s">
        <v>126</v>
      </c>
      <c r="I13" s="48" t="s">
        <v>134</v>
      </c>
      <c r="J13" s="50">
        <f t="shared" ref="J13" si="4">+IF(OR(I13="BGA",I13="FP",I13="TH"),1,IF($I$4*B13&lt;100,5,0))</f>
        <v>5</v>
      </c>
      <c r="K13" s="49">
        <f t="shared" ref="K13" si="5">+IF(AND(I13="",$I$4*B13&gt;100),0.05,0)</f>
        <v>0</v>
      </c>
      <c r="L13" s="50">
        <f t="shared" ref="L13" si="6">+ROUNDUP($I$4*B13*K13+J13,0)</f>
        <v>5</v>
      </c>
      <c r="M13" s="42">
        <f t="shared" ref="M13" si="7">+IF(OR(LEFT(G13&amp;"",1)="C",LEFT(G13&amp;"",1)="R"),ROUNDUP($I$4*B13+L13,-1),$I$4*B13+L13)</f>
        <v>9</v>
      </c>
    </row>
    <row r="14" spans="1:13" s="2" customFormat="1" ht="13" x14ac:dyDescent="0.25">
      <c r="A14" s="13"/>
      <c r="B14" s="47">
        <v>3</v>
      </c>
      <c r="C14" s="48" t="s">
        <v>30</v>
      </c>
      <c r="D14" s="48" t="s">
        <v>40</v>
      </c>
      <c r="E14" s="48" t="s">
        <v>65</v>
      </c>
      <c r="F14" s="48" t="s">
        <v>86</v>
      </c>
      <c r="G14" s="48" t="s">
        <v>105</v>
      </c>
      <c r="H14" s="48" t="s">
        <v>126</v>
      </c>
      <c r="I14" s="48" t="s">
        <v>134</v>
      </c>
      <c r="J14" s="50">
        <f>+IF(OR(I14="BGA",I14="FP",I14="TH"),1,IF($I$4*B14&lt;100,5,0))</f>
        <v>5</v>
      </c>
      <c r="K14" s="49">
        <f>+IF(AND(I14="",$I$4*B14&gt;100),0.05,0)</f>
        <v>0</v>
      </c>
      <c r="L14" s="50">
        <f>+ROUNDUP($I$4*B14*K14+J14,0)</f>
        <v>5</v>
      </c>
      <c r="M14" s="42">
        <f>+IF(OR(LEFT(G14&amp;"",1)="C",LEFT(G14&amp;"",1)="R"),ROUNDUP($I$4*B14+L14,-1),$I$4*B14+L14)</f>
        <v>11</v>
      </c>
    </row>
    <row r="15" spans="1:13" s="2" customFormat="1" ht="13" x14ac:dyDescent="0.25">
      <c r="A15" s="13"/>
      <c r="B15" s="47">
        <v>1</v>
      </c>
      <c r="C15" s="48" t="s">
        <v>29</v>
      </c>
      <c r="D15" s="48" t="s">
        <v>41</v>
      </c>
      <c r="E15" s="48" t="s">
        <v>66</v>
      </c>
      <c r="F15" s="48" t="s">
        <v>86</v>
      </c>
      <c r="G15" s="48" t="s">
        <v>106</v>
      </c>
      <c r="H15" s="48" t="s">
        <v>126</v>
      </c>
      <c r="I15" s="48" t="s">
        <v>134</v>
      </c>
      <c r="J15" s="50">
        <f t="shared" ref="J15:J17" si="8">+IF(OR(I15="BGA",I15="FP",I15="TH"),1,IF($I$4*B15&lt;100,5,0))</f>
        <v>5</v>
      </c>
      <c r="K15" s="49">
        <f t="shared" ref="K15:K17" si="9">+IF(AND(I15="",$I$4*B15&gt;100),0.05,0)</f>
        <v>0</v>
      </c>
      <c r="L15" s="50">
        <f t="shared" ref="L15:L17" si="10">+ROUNDUP($I$4*B15*K15+J15,0)</f>
        <v>5</v>
      </c>
      <c r="M15" s="42">
        <f t="shared" ref="M15:M17" si="11">+IF(OR(LEFT(G15&amp;"",1)="C",LEFT(G15&amp;"",1)="R"),ROUNDUP($I$4*B15+L15,-1),$I$4*B15+L15)</f>
        <v>7</v>
      </c>
    </row>
    <row r="16" spans="1:13" s="2" customFormat="1" ht="13" x14ac:dyDescent="0.25">
      <c r="A16" s="13"/>
      <c r="B16" s="47">
        <v>4</v>
      </c>
      <c r="C16" s="48" t="s">
        <v>30</v>
      </c>
      <c r="D16" s="48" t="s">
        <v>42</v>
      </c>
      <c r="E16" s="48" t="s">
        <v>67</v>
      </c>
      <c r="F16" s="48" t="s">
        <v>89</v>
      </c>
      <c r="G16" s="48" t="s">
        <v>107</v>
      </c>
      <c r="H16" s="48" t="s">
        <v>126</v>
      </c>
      <c r="I16" s="48" t="s">
        <v>134</v>
      </c>
      <c r="J16" s="50">
        <f>+IF(OR(I16="BGA",I16="FP",I16="TH"),1,IF($I$4*B16&lt;100,5,0))</f>
        <v>5</v>
      </c>
      <c r="K16" s="49">
        <f>+IF(AND(I16="",$I$4*B16&gt;100),0.05,0)</f>
        <v>0</v>
      </c>
      <c r="L16" s="50">
        <f>+ROUNDUP($I$4*B16*K16+J16,0)</f>
        <v>5</v>
      </c>
      <c r="M16" s="42">
        <f>+IF(OR(LEFT(G16&amp;"",1)="C",LEFT(G16&amp;"",1)="R"),ROUNDUP($I$4*B16+L16,-1),$I$4*B16+L16)</f>
        <v>13</v>
      </c>
    </row>
    <row r="17" spans="1:13" s="2" customFormat="1" ht="20.5" x14ac:dyDescent="0.25">
      <c r="A17" s="13"/>
      <c r="B17" s="47">
        <v>4</v>
      </c>
      <c r="C17" s="48" t="s">
        <v>30</v>
      </c>
      <c r="D17" s="48" t="s">
        <v>43</v>
      </c>
      <c r="E17" s="48" t="s">
        <v>68</v>
      </c>
      <c r="F17" s="48" t="s">
        <v>90</v>
      </c>
      <c r="G17" s="48" t="s">
        <v>108</v>
      </c>
      <c r="H17" s="48" t="s">
        <v>126</v>
      </c>
      <c r="I17" s="48" t="s">
        <v>134</v>
      </c>
      <c r="J17" s="50">
        <f t="shared" ref="J17" si="12">+IF(OR(I17="BGA",I17="FP",I17="TH"),1,IF($I$4*B17&lt;100,5,0))</f>
        <v>5</v>
      </c>
      <c r="K17" s="49">
        <f t="shared" ref="K17" si="13">+IF(AND(I17="",$I$4*B17&gt;100),0.05,0)</f>
        <v>0</v>
      </c>
      <c r="L17" s="50">
        <f t="shared" ref="L17" si="14">+ROUNDUP($I$4*B17*K17+J17,0)</f>
        <v>5</v>
      </c>
      <c r="M17" s="42">
        <f t="shared" ref="M17" si="15">+IF(OR(LEFT(G17&amp;"",1)="C",LEFT(G17&amp;"",1)="R"),ROUNDUP($I$4*B17+L17,-1),$I$4*B17+L17)</f>
        <v>13</v>
      </c>
    </row>
    <row r="18" spans="1:13" s="2" customFormat="1" ht="13" x14ac:dyDescent="0.25">
      <c r="A18" s="13"/>
      <c r="B18" s="47">
        <v>6</v>
      </c>
      <c r="C18" s="48" t="s">
        <v>32</v>
      </c>
      <c r="D18" s="48" t="s">
        <v>44</v>
      </c>
      <c r="E18" s="48" t="s">
        <v>69</v>
      </c>
      <c r="F18" s="48" t="s">
        <v>86</v>
      </c>
      <c r="G18" s="48" t="s">
        <v>109</v>
      </c>
      <c r="H18" s="48" t="s">
        <v>126</v>
      </c>
      <c r="I18" s="48" t="s">
        <v>134</v>
      </c>
      <c r="J18" s="50">
        <f>+IF(OR(I18="BGA",I18="FP",I18="TH"),1,IF($I$4*B18&lt;100,5,0))</f>
        <v>5</v>
      </c>
      <c r="K18" s="49">
        <f>+IF(AND(I18="",$I$4*B18&gt;100),0.05,0)</f>
        <v>0</v>
      </c>
      <c r="L18" s="50">
        <f>+ROUNDUP($I$4*B18*K18+J18,0)</f>
        <v>5</v>
      </c>
      <c r="M18" s="42">
        <f>+IF(OR(LEFT(G18&amp;"",1)="C",LEFT(G18&amp;"",1)="R"),ROUNDUP($I$4*B18+L18,-1),$I$4*B18+L18)</f>
        <v>17</v>
      </c>
    </row>
    <row r="19" spans="1:13" s="2" customFormat="1" ht="13" x14ac:dyDescent="0.25">
      <c r="A19" s="13"/>
      <c r="B19" s="47">
        <v>1</v>
      </c>
      <c r="C19" s="48" t="s">
        <v>29</v>
      </c>
      <c r="D19" s="48" t="s">
        <v>45</v>
      </c>
      <c r="E19" s="48" t="s">
        <v>70</v>
      </c>
      <c r="F19" s="48" t="s">
        <v>86</v>
      </c>
      <c r="G19" s="48" t="s">
        <v>110</v>
      </c>
      <c r="H19" s="48" t="s">
        <v>126</v>
      </c>
      <c r="I19" s="48" t="s">
        <v>134</v>
      </c>
      <c r="J19" s="50">
        <f t="shared" ref="J19:J25" si="16">+IF(OR(I19="BGA",I19="FP",I19="TH"),1,IF($I$4*B19&lt;100,5,0))</f>
        <v>5</v>
      </c>
      <c r="K19" s="49">
        <f t="shared" ref="K19:K25" si="17">+IF(AND(I19="",$I$4*B19&gt;100),0.05,0)</f>
        <v>0</v>
      </c>
      <c r="L19" s="50">
        <f t="shared" ref="L19:L25" si="18">+ROUNDUP($I$4*B19*K19+J19,0)</f>
        <v>5</v>
      </c>
      <c r="M19" s="42">
        <f t="shared" ref="M19:M25" si="19">+IF(OR(LEFT(G19&amp;"",1)="C",LEFT(G19&amp;"",1)="R"),ROUNDUP($I$4*B19+L19,-1),$I$4*B19+L19)</f>
        <v>7</v>
      </c>
    </row>
    <row r="20" spans="1:13" s="2" customFormat="1" ht="13" x14ac:dyDescent="0.25">
      <c r="A20" s="13"/>
      <c r="B20" s="47">
        <v>6</v>
      </c>
      <c r="C20" s="48" t="s">
        <v>32</v>
      </c>
      <c r="D20" s="48" t="s">
        <v>46</v>
      </c>
      <c r="E20" s="48" t="s">
        <v>71</v>
      </c>
      <c r="F20" s="48" t="s">
        <v>86</v>
      </c>
      <c r="G20" s="48" t="s">
        <v>111</v>
      </c>
      <c r="H20" s="48" t="s">
        <v>126</v>
      </c>
      <c r="I20" s="48" t="s">
        <v>134</v>
      </c>
      <c r="J20" s="50">
        <f>+IF(OR(I20="BGA",I20="FP",I20="TH"),1,IF($I$4*B20&lt;100,5,0))</f>
        <v>5</v>
      </c>
      <c r="K20" s="49">
        <f>+IF(AND(I20="",$I$4*B20&gt;100),0.05,0)</f>
        <v>0</v>
      </c>
      <c r="L20" s="50">
        <f>+ROUNDUP($I$4*B20*K20+J20,0)</f>
        <v>5</v>
      </c>
      <c r="M20" s="42">
        <f>+IF(OR(LEFT(G20&amp;"",1)="C",LEFT(G20&amp;"",1)="R"),ROUNDUP($I$4*B20+L20,-1),$I$4*B20+L20)</f>
        <v>17</v>
      </c>
    </row>
    <row r="21" spans="1:13" s="2" customFormat="1" ht="40.5" x14ac:dyDescent="0.25">
      <c r="A21" s="13"/>
      <c r="B21" s="47">
        <v>34</v>
      </c>
      <c r="C21" s="48" t="s">
        <v>33</v>
      </c>
      <c r="D21" s="48" t="s">
        <v>47</v>
      </c>
      <c r="E21" s="48" t="s">
        <v>72</v>
      </c>
      <c r="F21" s="48" t="s">
        <v>86</v>
      </c>
      <c r="G21" s="48" t="s">
        <v>112</v>
      </c>
      <c r="H21" s="48" t="s">
        <v>126</v>
      </c>
      <c r="I21" s="48" t="s">
        <v>134</v>
      </c>
      <c r="J21" s="50">
        <f t="shared" ref="J21" si="20">+IF(OR(I21="BGA",I21="FP",I21="TH"),1,IF($I$4*B21&lt;100,5,0))</f>
        <v>5</v>
      </c>
      <c r="K21" s="49">
        <f t="shared" ref="K21" si="21">+IF(AND(I21="",$I$4*B21&gt;100),0.05,0)</f>
        <v>0</v>
      </c>
      <c r="L21" s="50">
        <f t="shared" ref="L21" si="22">+ROUNDUP($I$4*B21*K21+J21,0)</f>
        <v>5</v>
      </c>
      <c r="M21" s="42">
        <f t="shared" ref="M21" si="23">+IF(OR(LEFT(G21&amp;"",1)="C",LEFT(G21&amp;"",1)="R"),ROUNDUP($I$4*B21+L21,-1),$I$4*B21+L21)</f>
        <v>73</v>
      </c>
    </row>
    <row r="22" spans="1:13" s="2" customFormat="1" ht="20.5" x14ac:dyDescent="0.25">
      <c r="A22" s="13"/>
      <c r="B22" s="47">
        <v>7</v>
      </c>
      <c r="C22" s="48" t="s">
        <v>30</v>
      </c>
      <c r="D22" s="48" t="s">
        <v>48</v>
      </c>
      <c r="E22" s="48" t="s">
        <v>73</v>
      </c>
      <c r="F22" s="48" t="s">
        <v>91</v>
      </c>
      <c r="G22" s="48" t="s">
        <v>113</v>
      </c>
      <c r="H22" s="48" t="s">
        <v>127</v>
      </c>
      <c r="I22" s="48" t="s">
        <v>135</v>
      </c>
      <c r="J22" s="50">
        <f>+IF(OR(I22="BGA",I22="FP",I22="TH"),1,IF($I$4*B22&lt;100,5,0))</f>
        <v>1</v>
      </c>
      <c r="K22" s="49">
        <f>+IF(AND(I22="",$I$4*B22&gt;100),0.05,0)</f>
        <v>0</v>
      </c>
      <c r="L22" s="50">
        <f>+ROUNDUP($I$4*B22*K22+J22,0)</f>
        <v>1</v>
      </c>
      <c r="M22" s="42">
        <f>+IF(OR(LEFT(G22&amp;"",1)="C",LEFT(G22&amp;"",1)="R"),ROUNDUP($I$4*B22+L22,-1),$I$4*B22+L22)</f>
        <v>15</v>
      </c>
    </row>
    <row r="23" spans="1:13" s="2" customFormat="1" ht="20.5" x14ac:dyDescent="0.25">
      <c r="A23" s="13"/>
      <c r="B23" s="47">
        <v>7</v>
      </c>
      <c r="C23" s="48" t="s">
        <v>30</v>
      </c>
      <c r="D23" s="48" t="s">
        <v>49</v>
      </c>
      <c r="E23" s="48" t="s">
        <v>74</v>
      </c>
      <c r="F23" s="48" t="s">
        <v>92</v>
      </c>
      <c r="G23" s="48" t="s">
        <v>114</v>
      </c>
      <c r="H23" s="48" t="s">
        <v>128</v>
      </c>
      <c r="I23" s="48" t="s">
        <v>135</v>
      </c>
      <c r="J23" s="50">
        <f t="shared" ref="J23:J25" si="24">+IF(OR(I23="BGA",I23="FP",I23="TH"),1,IF($I$4*B23&lt;100,5,0))</f>
        <v>1</v>
      </c>
      <c r="K23" s="49">
        <f t="shared" ref="K23:K25" si="25">+IF(AND(I23="",$I$4*B23&gt;100),0.05,0)</f>
        <v>0</v>
      </c>
      <c r="L23" s="50">
        <f t="shared" ref="L23:L25" si="26">+ROUNDUP($I$4*B23*K23+J23,0)</f>
        <v>1</v>
      </c>
      <c r="M23" s="42">
        <f t="shared" ref="M23:M25" si="27">+IF(OR(LEFT(G23&amp;"",1)="C",LEFT(G23&amp;"",1)="R"),ROUNDUP($I$4*B23+L23,-1),$I$4*B23+L23)</f>
        <v>15</v>
      </c>
    </row>
    <row r="24" spans="1:13" s="2" customFormat="1" ht="20.5" x14ac:dyDescent="0.25">
      <c r="A24" s="13"/>
      <c r="B24" s="47">
        <v>2</v>
      </c>
      <c r="C24" s="48" t="s">
        <v>30</v>
      </c>
      <c r="D24" s="48" t="s">
        <v>50</v>
      </c>
      <c r="E24" s="48" t="s">
        <v>75</v>
      </c>
      <c r="F24" s="48" t="s">
        <v>93</v>
      </c>
      <c r="G24" s="48" t="s">
        <v>115</v>
      </c>
      <c r="H24" s="48" t="s">
        <v>129</v>
      </c>
      <c r="I24" s="48" t="s">
        <v>135</v>
      </c>
      <c r="J24" s="50">
        <f>+IF(OR(I24="BGA",I24="FP",I24="TH"),1,IF($I$4*B24&lt;100,5,0))</f>
        <v>1</v>
      </c>
      <c r="K24" s="49">
        <f>+IF(AND(I24="",$I$4*B24&gt;100),0.05,0)</f>
        <v>0</v>
      </c>
      <c r="L24" s="50">
        <f>+ROUNDUP($I$4*B24*K24+J24,0)</f>
        <v>1</v>
      </c>
      <c r="M24" s="42">
        <f>+IF(OR(LEFT(G24&amp;"",1)="C",LEFT(G24&amp;"",1)="R"),ROUNDUP($I$4*B24+L24,-1),$I$4*B24+L24)</f>
        <v>5</v>
      </c>
    </row>
    <row r="25" spans="1:13" s="2" customFormat="1" ht="20.5" x14ac:dyDescent="0.25">
      <c r="A25" s="13"/>
      <c r="B25" s="47">
        <v>1</v>
      </c>
      <c r="C25" s="48" t="s">
        <v>30</v>
      </c>
      <c r="D25" s="48" t="s">
        <v>51</v>
      </c>
      <c r="E25" s="48" t="s">
        <v>76</v>
      </c>
      <c r="F25" s="48" t="s">
        <v>94</v>
      </c>
      <c r="G25" s="48" t="s">
        <v>116</v>
      </c>
      <c r="H25" s="48" t="s">
        <v>130</v>
      </c>
      <c r="I25" s="48" t="s">
        <v>135</v>
      </c>
      <c r="J25" s="50">
        <f t="shared" ref="J25" si="28">+IF(OR(I25="BGA",I25="FP",I25="TH"),1,IF($I$4*B25&lt;100,5,0))</f>
        <v>1</v>
      </c>
      <c r="K25" s="49">
        <f t="shared" ref="K25" si="29">+IF(AND(I25="",$I$4*B25&gt;100),0.05,0)</f>
        <v>0</v>
      </c>
      <c r="L25" s="50">
        <f t="shared" ref="L25" si="30">+ROUNDUP($I$4*B25*K25+J25,0)</f>
        <v>1</v>
      </c>
      <c r="M25" s="42">
        <f t="shared" ref="M25" si="31">+IF(OR(LEFT(G25&amp;"",1)="C",LEFT(G25&amp;"",1)="R"),ROUNDUP($I$4*B25+L25,-1),$I$4*B25+L25)</f>
        <v>3</v>
      </c>
    </row>
    <row r="26" spans="1:13" s="2" customFormat="1" ht="13" x14ac:dyDescent="0.25">
      <c r="A26" s="13"/>
      <c r="B26" s="47">
        <v>2</v>
      </c>
      <c r="C26" s="48" t="s">
        <v>30</v>
      </c>
      <c r="D26" s="48" t="s">
        <v>52</v>
      </c>
      <c r="E26" s="48" t="s">
        <v>77</v>
      </c>
      <c r="F26" s="48" t="s">
        <v>95</v>
      </c>
      <c r="G26" s="48" t="s">
        <v>117</v>
      </c>
      <c r="H26" s="48" t="s">
        <v>77</v>
      </c>
      <c r="I26" s="48" t="s">
        <v>135</v>
      </c>
      <c r="J26" s="50">
        <f>+IF(OR(I26="BGA",I26="FP",I26="TH"),1,IF($I$4*B26&lt;100,5,0))</f>
        <v>1</v>
      </c>
      <c r="K26" s="49">
        <f>+IF(AND(I26="",$I$4*B26&gt;100),0.05,0)</f>
        <v>0</v>
      </c>
      <c r="L26" s="50">
        <f>+ROUNDUP($I$4*B26*K26+J26,0)</f>
        <v>1</v>
      </c>
      <c r="M26" s="42">
        <f>+IF(OR(LEFT(G26&amp;"",1)="C",LEFT(G26&amp;"",1)="R"),ROUNDUP($I$4*B26+L26,-1),$I$4*B26+L26)</f>
        <v>5</v>
      </c>
    </row>
    <row r="27" spans="1:13" s="2" customFormat="1" ht="13" x14ac:dyDescent="0.25">
      <c r="A27" s="13"/>
      <c r="B27" s="47">
        <v>1</v>
      </c>
      <c r="C27" s="48" t="s">
        <v>30</v>
      </c>
      <c r="D27" s="48" t="s">
        <v>53</v>
      </c>
      <c r="E27" s="48" t="s">
        <v>78</v>
      </c>
      <c r="F27" s="48" t="s">
        <v>96</v>
      </c>
      <c r="G27" s="48" t="s">
        <v>118</v>
      </c>
      <c r="H27" s="48" t="s">
        <v>131</v>
      </c>
      <c r="I27" s="48" t="s">
        <v>135</v>
      </c>
      <c r="J27" s="50">
        <f t="shared" ref="J27:J33" si="32">+IF(OR(I27="BGA",I27="FP",I27="TH"),1,IF($I$4*B27&lt;100,5,0))</f>
        <v>1</v>
      </c>
      <c r="K27" s="49">
        <f t="shared" ref="K27:K33" si="33">+IF(AND(I27="",$I$4*B27&gt;100),0.05,0)</f>
        <v>0</v>
      </c>
      <c r="L27" s="50">
        <f t="shared" ref="L27:L33" si="34">+ROUNDUP($I$4*B27*K27+J27,0)</f>
        <v>1</v>
      </c>
      <c r="M27" s="42">
        <f t="shared" ref="M27:M33" si="35">+IF(OR(LEFT(G27&amp;"",1)="C",LEFT(G27&amp;"",1)="R"),ROUNDUP($I$4*B27+L27,-1),$I$4*B27+L27)</f>
        <v>3</v>
      </c>
    </row>
    <row r="28" spans="1:13" s="2" customFormat="1" ht="20.5" x14ac:dyDescent="0.25">
      <c r="A28" s="13"/>
      <c r="B28" s="47">
        <v>1</v>
      </c>
      <c r="C28" s="48" t="s">
        <v>30</v>
      </c>
      <c r="D28" s="48" t="s">
        <v>54</v>
      </c>
      <c r="E28" s="48" t="s">
        <v>79</v>
      </c>
      <c r="F28" s="48" t="s">
        <v>96</v>
      </c>
      <c r="G28" s="48" t="s">
        <v>119</v>
      </c>
      <c r="H28" s="48" t="s">
        <v>132</v>
      </c>
      <c r="I28" s="48" t="s">
        <v>135</v>
      </c>
      <c r="J28" s="50">
        <f>+IF(OR(I28="BGA",I28="FP",I28="TH"),1,IF($I$4*B28&lt;100,5,0))</f>
        <v>1</v>
      </c>
      <c r="K28" s="49">
        <f>+IF(AND(I28="",$I$4*B28&gt;100),0.05,0)</f>
        <v>0</v>
      </c>
      <c r="L28" s="50">
        <f>+ROUNDUP($I$4*B28*K28+J28,0)</f>
        <v>1</v>
      </c>
      <c r="M28" s="42">
        <f>+IF(OR(LEFT(G28&amp;"",1)="C",LEFT(G28&amp;"",1)="R"),ROUNDUP($I$4*B28+L28,-1),$I$4*B28+L28)</f>
        <v>3</v>
      </c>
    </row>
    <row r="29" spans="1:13" s="2" customFormat="1" ht="13" x14ac:dyDescent="0.25">
      <c r="A29" s="13"/>
      <c r="B29" s="47">
        <v>4</v>
      </c>
      <c r="C29" s="48" t="s">
        <v>32</v>
      </c>
      <c r="D29" s="48" t="s">
        <v>55</v>
      </c>
      <c r="E29" s="48" t="s">
        <v>80</v>
      </c>
      <c r="F29" s="48" t="s">
        <v>97</v>
      </c>
      <c r="G29" s="48" t="s">
        <v>120</v>
      </c>
      <c r="H29" s="48" t="s">
        <v>126</v>
      </c>
      <c r="I29" s="48" t="s">
        <v>134</v>
      </c>
      <c r="J29" s="50">
        <f t="shared" ref="J29" si="36">+IF(OR(I29="BGA",I29="FP",I29="TH"),1,IF($I$4*B29&lt;100,5,0))</f>
        <v>5</v>
      </c>
      <c r="K29" s="49">
        <f t="shared" ref="K29" si="37">+IF(AND(I29="",$I$4*B29&gt;100),0.05,0)</f>
        <v>0</v>
      </c>
      <c r="L29" s="50">
        <f t="shared" ref="L29" si="38">+ROUNDUP($I$4*B29*K29+J29,0)</f>
        <v>5</v>
      </c>
      <c r="M29" s="42">
        <f t="shared" ref="M29" si="39">+IF(OR(LEFT(G29&amp;"",1)="C",LEFT(G29&amp;"",1)="R"),ROUNDUP($I$4*B29+L29,-1),$I$4*B29+L29)</f>
        <v>13</v>
      </c>
    </row>
    <row r="30" spans="1:13" s="2" customFormat="1" ht="20.5" x14ac:dyDescent="0.25">
      <c r="A30" s="13"/>
      <c r="B30" s="47">
        <v>1</v>
      </c>
      <c r="C30" s="48" t="s">
        <v>34</v>
      </c>
      <c r="D30" s="48" t="s">
        <v>56</v>
      </c>
      <c r="E30" s="48" t="s">
        <v>81</v>
      </c>
      <c r="F30" s="48" t="s">
        <v>98</v>
      </c>
      <c r="G30" s="48" t="s">
        <v>121</v>
      </c>
      <c r="H30" s="48" t="s">
        <v>126</v>
      </c>
      <c r="I30" s="48" t="s">
        <v>134</v>
      </c>
      <c r="J30" s="50">
        <f>+IF(OR(I30="BGA",I30="FP",I30="TH"),1,IF($I$4*B30&lt;100,5,0))</f>
        <v>5</v>
      </c>
      <c r="K30" s="49">
        <f>+IF(AND(I30="",$I$4*B30&gt;100),0.05,0)</f>
        <v>0</v>
      </c>
      <c r="L30" s="50">
        <f>+ROUNDUP($I$4*B30*K30+J30,0)</f>
        <v>5</v>
      </c>
      <c r="M30" s="42">
        <f>+IF(OR(LEFT(G30&amp;"",1)="C",LEFT(G30&amp;"",1)="R"),ROUNDUP($I$4*B30+L30,-1),$I$4*B30+L30)</f>
        <v>7</v>
      </c>
    </row>
    <row r="31" spans="1:13" s="2" customFormat="1" ht="20.5" x14ac:dyDescent="0.25">
      <c r="A31" s="13"/>
      <c r="B31" s="47">
        <v>1</v>
      </c>
      <c r="C31" s="48" t="s">
        <v>34</v>
      </c>
      <c r="D31" s="48" t="s">
        <v>57</v>
      </c>
      <c r="E31" s="48" t="s">
        <v>82</v>
      </c>
      <c r="F31" s="48" t="s">
        <v>57</v>
      </c>
      <c r="G31" s="48" t="s">
        <v>122</v>
      </c>
      <c r="H31" s="48" t="s">
        <v>126</v>
      </c>
      <c r="I31" s="48" t="s">
        <v>134</v>
      </c>
      <c r="J31" s="50">
        <f t="shared" ref="J31:J33" si="40">+IF(OR(I31="BGA",I31="FP",I31="TH"),1,IF($I$4*B31&lt;100,5,0))</f>
        <v>5</v>
      </c>
      <c r="K31" s="49">
        <f t="shared" ref="K31:K33" si="41">+IF(AND(I31="",$I$4*B31&gt;100),0.05,0)</f>
        <v>0</v>
      </c>
      <c r="L31" s="50">
        <f t="shared" ref="L31:L33" si="42">+ROUNDUP($I$4*B31*K31+J31,0)</f>
        <v>5</v>
      </c>
      <c r="M31" s="42">
        <f t="shared" ref="M31:M33" si="43">+IF(OR(LEFT(G31&amp;"",1)="C",LEFT(G31&amp;"",1)="R"),ROUNDUP($I$4*B31+L31,-1),$I$4*B31+L31)</f>
        <v>7</v>
      </c>
    </row>
    <row r="32" spans="1:13" s="2" customFormat="1" ht="20.5" x14ac:dyDescent="0.25">
      <c r="A32" s="13"/>
      <c r="B32" s="47">
        <v>1</v>
      </c>
      <c r="C32" s="48" t="s">
        <v>34</v>
      </c>
      <c r="D32" s="48" t="s">
        <v>58</v>
      </c>
      <c r="E32" s="48" t="s">
        <v>83</v>
      </c>
      <c r="F32" s="48" t="s">
        <v>58</v>
      </c>
      <c r="G32" s="48" t="s">
        <v>123</v>
      </c>
      <c r="H32" s="48" t="s">
        <v>126</v>
      </c>
      <c r="I32" s="48" t="s">
        <v>134</v>
      </c>
      <c r="J32" s="50">
        <f>+IF(OR(I32="BGA",I32="FP",I32="TH"),1,IF($I$4*B32&lt;100,5,0))</f>
        <v>5</v>
      </c>
      <c r="K32" s="49">
        <f>+IF(AND(I32="",$I$4*B32&gt;100),0.05,0)</f>
        <v>0</v>
      </c>
      <c r="L32" s="50">
        <f>+ROUNDUP($I$4*B32*K32+J32,0)</f>
        <v>5</v>
      </c>
      <c r="M32" s="42">
        <f>+IF(OR(LEFT(G32&amp;"",1)="C",LEFT(G32&amp;"",1)="R"),ROUNDUP($I$4*B32+L32,-1),$I$4*B32+L32)</f>
        <v>7</v>
      </c>
    </row>
    <row r="33" spans="1:13" x14ac:dyDescent="0.25">
      <c r="A33" s="13"/>
      <c r="B33" s="47">
        <v>2</v>
      </c>
      <c r="C33" s="48" t="s">
        <v>34</v>
      </c>
      <c r="D33" s="48" t="s">
        <v>59</v>
      </c>
      <c r="E33" s="48" t="s">
        <v>84</v>
      </c>
      <c r="F33" s="48" t="s">
        <v>99</v>
      </c>
      <c r="G33" s="48" t="s">
        <v>124</v>
      </c>
      <c r="H33" s="48" t="s">
        <v>126</v>
      </c>
      <c r="I33" s="48" t="s">
        <v>134</v>
      </c>
      <c r="J33" s="50">
        <f t="shared" ref="J33" si="44">+IF(OR(I33="BGA",I33="FP",I33="TH"),1,IF($I$4*B33&lt;100,5,0))</f>
        <v>5</v>
      </c>
      <c r="K33" s="49">
        <f t="shared" ref="K33" si="45">+IF(AND(I33="",$I$4*B33&gt;100),0.05,0)</f>
        <v>0</v>
      </c>
      <c r="L33" s="50">
        <f t="shared" ref="L33" si="46">+ROUNDUP($I$4*B33*K33+J33,0)</f>
        <v>5</v>
      </c>
      <c r="M33" s="42">
        <f t="shared" ref="M33" si="47">+IF(OR(LEFT(G33&amp;"",1)="C",LEFT(G33&amp;"",1)="R"),ROUNDUP($I$4*B33+L33,-1),$I$4*B33+L33)</f>
        <v>9</v>
      </c>
    </row>
    <row r="34" spans="1:13" x14ac:dyDescent="0.25">
      <c r="A34" s="14"/>
      <c r="B34" s="43">
        <f>SUM(B10:B33)</f>
        <v>95</v>
      </c>
      <c r="C34" s="44" t="s">
        <v>9</v>
      </c>
      <c r="D34" s="45"/>
      <c r="E34" s="44"/>
      <c r="F34" s="44"/>
      <c r="G34" s="46"/>
      <c r="H34" s="46"/>
      <c r="I34" s="44"/>
      <c r="J34" s="46"/>
      <c r="K34" s="46"/>
      <c r="L34" s="46"/>
      <c r="M34" s="46"/>
    </row>
    <row r="35" spans="1:13" x14ac:dyDescent="0.25">
      <c r="B35" s="1"/>
      <c r="C35" s="1"/>
    </row>
    <row r="36" spans="1:13" x14ac:dyDescent="0.25">
      <c r="B36" s="1"/>
      <c r="C36" s="1"/>
    </row>
    <row r="37" spans="1:13" x14ac:dyDescent="0.25">
      <c r="B37" s="1"/>
      <c r="C37" s="1"/>
    </row>
    <row r="38" spans="1:13" ht="17.5" x14ac:dyDescent="0.25">
      <c r="B38" s="1"/>
      <c r="C38" s="55" t="s">
        <v>8</v>
      </c>
      <c r="D38" s="56"/>
      <c r="E38" s="57"/>
      <c r="F38" s="21"/>
      <c r="G38" s="22"/>
    </row>
    <row r="39" spans="1:13" x14ac:dyDescent="0.25">
      <c r="C39" s="34" t="s">
        <v>3</v>
      </c>
      <c r="D39" s="35"/>
      <c r="E39" s="36">
        <f>COUNT(B10:B33)</f>
        <v>24</v>
      </c>
    </row>
    <row r="40" spans="1:13" x14ac:dyDescent="0.25">
      <c r="C40" s="16" t="s">
        <v>4</v>
      </c>
      <c r="D40" s="31"/>
      <c r="E40" s="29">
        <f>SUMIF($I$10:$I$33, "", $B$10:$B$33)</f>
        <v>0</v>
      </c>
    </row>
    <row r="41" spans="1:13" x14ac:dyDescent="0.25">
      <c r="C41" s="34" t="s">
        <v>5</v>
      </c>
      <c r="D41" s="35"/>
      <c r="E41" s="37">
        <f>SUMIF($I$10:$I$33, "TH", $B$10:$B$33)</f>
        <v>21</v>
      </c>
    </row>
    <row r="42" spans="1:13" x14ac:dyDescent="0.25">
      <c r="C42" s="16" t="s">
        <v>6</v>
      </c>
      <c r="D42" s="31"/>
      <c r="E42" s="29">
        <f>SUMIF($I$10:$I$33, "FP", $B$10:$B$33)</f>
        <v>0</v>
      </c>
    </row>
    <row r="43" spans="1:13" x14ac:dyDescent="0.25">
      <c r="C43" s="34" t="s">
        <v>7</v>
      </c>
      <c r="D43" s="35"/>
      <c r="E43" s="37">
        <f>SUMIF($I$10:$I$33, "BGA", $B$10:$B$33)</f>
        <v>0</v>
      </c>
    </row>
    <row r="44" spans="1:13" x14ac:dyDescent="0.25">
      <c r="C44" s="28" t="s">
        <v>16</v>
      </c>
      <c r="D44" s="32"/>
      <c r="E44" s="30">
        <f>SUMIF($I$10:$I$33, "M", $B$10:$B$33)</f>
        <v>74</v>
      </c>
    </row>
  </sheetData>
  <mergeCells count="3">
    <mergeCell ref="G4:H4"/>
    <mergeCell ref="E8:F8"/>
    <mergeCell ref="C38:E38"/>
  </mergeCells>
  <phoneticPr fontId="0" type="noConversion"/>
  <conditionalFormatting sqref="B10:L11">
    <cfRule type="expression" dxfId="23" priority="23" stopIfTrue="1">
      <formula>MOD(ROW(),2)=1</formula>
    </cfRule>
    <cfRule type="expression" dxfId="22" priority="24" stopIfTrue="1">
      <formula>MMOD(ROW(),2)=0</formula>
    </cfRule>
  </conditionalFormatting>
  <conditionalFormatting sqref="B12:L13">
    <cfRule type="expression" dxfId="21" priority="21" stopIfTrue="1">
      <formula>MOD(ROW(),2)=1</formula>
    </cfRule>
    <cfRule type="expression" dxfId="20" priority="22" stopIfTrue="1">
      <formula>MMOD(ROW(),2)=0</formula>
    </cfRule>
  </conditionalFormatting>
  <conditionalFormatting sqref="B14:L15">
    <cfRule type="expression" dxfId="19" priority="19" stopIfTrue="1">
      <formula>MOD(ROW(),2)=1</formula>
    </cfRule>
    <cfRule type="expression" dxfId="18" priority="20" stopIfTrue="1">
      <formula>MMOD(ROW(),2)=0</formula>
    </cfRule>
  </conditionalFormatting>
  <conditionalFormatting sqref="B16:L17">
    <cfRule type="expression" dxfId="17" priority="17" stopIfTrue="1">
      <formula>MOD(ROW(),2)=1</formula>
    </cfRule>
    <cfRule type="expression" dxfId="16" priority="18" stopIfTrue="1">
      <formula>MMOD(ROW(),2)=0</formula>
    </cfRule>
  </conditionalFormatting>
  <conditionalFormatting sqref="B18:L19">
    <cfRule type="expression" dxfId="15" priority="15" stopIfTrue="1">
      <formula>MOD(ROW(),2)=1</formula>
    </cfRule>
    <cfRule type="expression" dxfId="14" priority="16" stopIfTrue="1">
      <formula>MMOD(ROW(),2)=0</formula>
    </cfRule>
  </conditionalFormatting>
  <conditionalFormatting sqref="B20:L21">
    <cfRule type="expression" dxfId="13" priority="13" stopIfTrue="1">
      <formula>MOD(ROW(),2)=1</formula>
    </cfRule>
    <cfRule type="expression" dxfId="12" priority="14" stopIfTrue="1">
      <formula>MMOD(ROW(),2)=0</formula>
    </cfRule>
  </conditionalFormatting>
  <conditionalFormatting sqref="B22:L23">
    <cfRule type="expression" dxfId="11" priority="11" stopIfTrue="1">
      <formula>MOD(ROW(),2)=1</formula>
    </cfRule>
    <cfRule type="expression" dxfId="10" priority="12" stopIfTrue="1">
      <formula>MMOD(ROW(),2)=0</formula>
    </cfRule>
  </conditionalFormatting>
  <conditionalFormatting sqref="B24:L25">
    <cfRule type="expression" dxfId="9" priority="9" stopIfTrue="1">
      <formula>MOD(ROW(),2)=1</formula>
    </cfRule>
    <cfRule type="expression" dxfId="8" priority="10" stopIfTrue="1">
      <formula>MMOD(ROW(),2)=0</formula>
    </cfRule>
  </conditionalFormatting>
  <conditionalFormatting sqref="B26:L27">
    <cfRule type="expression" dxfId="7" priority="7" stopIfTrue="1">
      <formula>MOD(ROW(),2)=1</formula>
    </cfRule>
    <cfRule type="expression" dxfId="6" priority="8" stopIfTrue="1">
      <formula>MMOD(ROW(),2)=0</formula>
    </cfRule>
  </conditionalFormatting>
  <conditionalFormatting sqref="B28:L29">
    <cfRule type="expression" dxfId="5" priority="5" stopIfTrue="1">
      <formula>MOD(ROW(),2)=1</formula>
    </cfRule>
    <cfRule type="expression" dxfId="4" priority="6" stopIfTrue="1">
      <formula>MMOD(ROW(),2)=0</formula>
    </cfRule>
  </conditionalFormatting>
  <conditionalFormatting sqref="B30:L31">
    <cfRule type="expression" dxfId="3" priority="3" stopIfTrue="1">
      <formula>MOD(ROW(),2)=1</formula>
    </cfRule>
    <cfRule type="expression" dxfId="2" priority="4" stopIfTrue="1">
      <formula>MMOD(ROW(),2)=0</formula>
    </cfRule>
  </conditionalFormatting>
  <conditionalFormatting sqref="B32:L33">
    <cfRule type="expression" dxfId="1" priority="1" stopIfTrue="1">
      <formula>MOD(ROW(),2)=1</formula>
    </cfRule>
    <cfRule type="expression" dxfId="0" priority="2" stopIfTrue="1">
      <formula>MMOD(ROW(),2)=0</formula>
    </cfRule>
  </conditionalFormatting>
  <pageMargins left="0.46" right="0.36" top="0.57999999999999996" bottom="1" header="0.5" footer="0.5"/>
  <pageSetup scale="79" fitToHeight="99" orientation="landscape" horizontalDpi="200" verticalDpi="200" r:id="rId1"/>
  <headerFooter alignWithMargins="0">
    <oddFooter>&amp;L&amp;"Arial,Bold"LIGO&amp;C&amp;D&amp;RPage &amp;P</oddFoot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Part List Report</vt:lpstr>
    </vt:vector>
  </TitlesOfParts>
  <Company>LIGO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</dc:creator>
  <cp:lastModifiedBy>Daniel Sigg</cp:lastModifiedBy>
  <cp:lastPrinted>2007-03-08T22:58:03Z</cp:lastPrinted>
  <dcterms:created xsi:type="dcterms:W3CDTF">2002-11-05T15:28:02Z</dcterms:created>
  <dcterms:modified xsi:type="dcterms:W3CDTF">2024-08-05T23:19:09Z</dcterms:modified>
</cp:coreProperties>
</file>