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aniel.sigg\Documents\Protel\Converter\Prototype\LIGO_ADC32_Adapter\Project Outputs for LIGO_ADC32_Adapter\"/>
    </mc:Choice>
  </mc:AlternateContent>
  <bookViews>
    <workbookView xWindow="-20" yWindow="-20" windowWidth="7970" windowHeight="11360"/>
  </bookViews>
  <sheets>
    <sheet name="Part List Report" sheetId="3" r:id="rId1"/>
  </sheets>
  <calcPr calcId="162913"/>
</workbook>
</file>

<file path=xl/calcChain.xml><?xml version="1.0" encoding="utf-8"?>
<calcChain xmlns="http://schemas.openxmlformats.org/spreadsheetml/2006/main">
  <c r="K23" i="3" l="1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L20" i="3" l="1"/>
  <c r="M20" i="3" s="1"/>
  <c r="L18" i="3"/>
  <c r="M18" i="3" s="1"/>
  <c r="L13" i="3"/>
  <c r="M13" i="3" s="1"/>
  <c r="L17" i="3"/>
  <c r="M17" i="3" s="1"/>
  <c r="L21" i="3"/>
  <c r="M21" i="3" s="1"/>
  <c r="L12" i="3"/>
  <c r="M12" i="3" s="1"/>
  <c r="L22" i="3"/>
  <c r="M22" i="3" s="1"/>
  <c r="L16" i="3"/>
  <c r="M16" i="3" s="1"/>
  <c r="L14" i="3"/>
  <c r="M14" i="3" s="1"/>
  <c r="L15" i="3"/>
  <c r="M15" i="3" s="1"/>
  <c r="L19" i="3"/>
  <c r="M19" i="3" s="1"/>
  <c r="L23" i="3"/>
  <c r="M23" i="3" s="1"/>
  <c r="J11" i="3"/>
  <c r="K11" i="3"/>
  <c r="K10" i="3"/>
  <c r="J10" i="3"/>
  <c r="E34" i="3"/>
  <c r="E33" i="3"/>
  <c r="E32" i="3"/>
  <c r="E31" i="3"/>
  <c r="E30" i="3"/>
  <c r="E29" i="3"/>
  <c r="B24" i="3"/>
  <c r="D8" i="3"/>
  <c r="E8" i="3"/>
  <c r="L10" i="3" l="1"/>
  <c r="L11" i="3"/>
  <c r="M11" i="3"/>
  <c r="M10" i="3"/>
</calcChain>
</file>

<file path=xl/sharedStrings.xml><?xml version="1.0" encoding="utf-8"?>
<sst xmlns="http://schemas.openxmlformats.org/spreadsheetml/2006/main" count="133" uniqueCount="100">
  <si>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</si>
  <si>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</si>
  <si>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</si>
  <si>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</si>
  <si>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</si>
  <si>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</si>
  <si>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</si>
  <si>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</si>
  <si>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</si>
  <si>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</si>
  <si>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</si>
  <si>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</si>
  <si>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</si>
  <si>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</si>
  <si>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</si>
  <si>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</si>
  <si>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</si>
  <si>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</si>
  <si>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</si>
  <si>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</si>
  <si>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D2400280</t>
  </si>
  <si>
    <t>1</t>
  </si>
  <si>
    <t>LIGO_ADC32_Adapter.PrjPCB</t>
  </si>
  <si>
    <t>25</t>
  </si>
  <si>
    <t>Daniel Sigg</t>
  </si>
  <si>
    <t>9/5/2024</t>
  </si>
  <si>
    <t>2:47 PM</t>
  </si>
  <si>
    <t>Quantity</t>
  </si>
  <si>
    <t>Distributor</t>
  </si>
  <si>
    <t>Digi-Key</t>
  </si>
  <si>
    <t>Gompf</t>
  </si>
  <si>
    <t/>
  </si>
  <si>
    <t>Part Number</t>
  </si>
  <si>
    <t>587-3247-1-ND</t>
  </si>
  <si>
    <t>1276-1851-1-ND</t>
  </si>
  <si>
    <t>RS2G-E3/52TGICT-ND</t>
  </si>
  <si>
    <t>Z112-ND</t>
  </si>
  <si>
    <t>A31814-ND</t>
  </si>
  <si>
    <t>3M161985-ND</t>
  </si>
  <si>
    <t>9334-0158LC</t>
  </si>
  <si>
    <t>A23470-ND</t>
  </si>
  <si>
    <t>PZT2222AT3GOSCT-ND</t>
  </si>
  <si>
    <t>311-10.0KCRCT-ND</t>
  </si>
  <si>
    <t>311-1.00KCRCT-ND</t>
  </si>
  <si>
    <t>296-8483-1-ND</t>
  </si>
  <si>
    <t>296-11599-1-ND</t>
  </si>
  <si>
    <t>Comment</t>
  </si>
  <si>
    <t>1u</t>
  </si>
  <si>
    <t>22u</t>
  </si>
  <si>
    <t>RS2G</t>
  </si>
  <si>
    <t>G6K</t>
  </si>
  <si>
    <t>787082-7</t>
  </si>
  <si>
    <t>P50E-080P1-RR1EA</t>
  </si>
  <si>
    <t>Mounting bracket</t>
  </si>
  <si>
    <t>Screwlock Kit</t>
  </si>
  <si>
    <t>PZT2222A</t>
  </si>
  <si>
    <t>10K</t>
  </si>
  <si>
    <t>1K</t>
  </si>
  <si>
    <t>NL</t>
  </si>
  <si>
    <t>SN74LVC1G06</t>
  </si>
  <si>
    <t>SN74LVC1G04</t>
  </si>
  <si>
    <t>Description</t>
  </si>
  <si>
    <t>Capacitor, surface mount</t>
  </si>
  <si>
    <t>Single diode</t>
  </si>
  <si>
    <t>Dual-pole dual-throw relay</t>
  </si>
  <si>
    <t>Receptacle Assembly, Shielded, Right Angle, AMPLIMITE</t>
  </si>
  <si>
    <t>3M Pak 50 plug connector</t>
  </si>
  <si>
    <t>PCI bracket for Amplite III 68 pin</t>
  </si>
  <si>
    <t>Jackscrew Socket, Slotted For AMPLIMITE Series: 786585-2</t>
  </si>
  <si>
    <t>NPN General Purpose Amplifier, 40 V, 1 A, -55 to 150 degC, 4-Pin SOT-223, RoHS, Tape and Reel</t>
  </si>
  <si>
    <t>Resistor, surface mount</t>
  </si>
  <si>
    <t>Single inverter buffer with open collector</t>
  </si>
  <si>
    <t>Single inverter</t>
  </si>
  <si>
    <t>Designator</t>
  </si>
  <si>
    <t>C1, C2, C3, C4, C6</t>
  </si>
  <si>
    <t>C5, C9, C10</t>
  </si>
  <si>
    <t>D1, D2</t>
  </si>
  <si>
    <t>K1, K2</t>
  </si>
  <si>
    <t>P1</t>
  </si>
  <si>
    <t>P2</t>
  </si>
  <si>
    <t>PN1</t>
  </si>
  <si>
    <t>PN2</t>
  </si>
  <si>
    <t>Q1, Q2</t>
  </si>
  <si>
    <t>R1, R3, R4, R6</t>
  </si>
  <si>
    <t>R2, R5</t>
  </si>
  <si>
    <t>R7, R8</t>
  </si>
  <si>
    <t>U1, U3</t>
  </si>
  <si>
    <t>U2, U4</t>
  </si>
  <si>
    <t>Footprint</t>
  </si>
  <si>
    <t>CC1608-0603</t>
  </si>
  <si>
    <t>CC3225-1210</t>
  </si>
  <si>
    <t>DO-SMB</t>
  </si>
  <si>
    <t>RELAY_G6K-2F</t>
  </si>
  <si>
    <t>P50E-080-SR1</t>
  </si>
  <si>
    <t>FAIR-SOT223-4_V</t>
  </si>
  <si>
    <t>CR2012-0805</t>
  </si>
  <si>
    <t>SO-G5/E2.4</t>
  </si>
  <si>
    <t>Assembly Type</t>
  </si>
  <si>
    <t>TH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</si>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</sst>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9:M24" totalsRowShown="0" headerRowDxfId="15" dataDxfId="13" headerRowBorderDxfId="14" tableBorderDxfId="12">
  <autoFilter ref="B9:M24"/>
  <tableColumns count="12">
    <tableColumn id="1" name="Quantity" dataDxfId="11"/>
    <tableColumn id="2" name="Distributor" dataDxfId="10"/>
    <tableColumn id="3" name="Part Number" dataDxfId="9"/>
    <tableColumn id="4" name="Comment" dataDxfId="8"/>
    <tableColumn id="5" name="Description" dataDxfId="7"/>
    <tableColumn id="6" name="Designator" dataDxfId="6"/>
    <tableColumn id="7" name="Footprint" dataDxfId="5"/>
    <tableColumn id="8" name="Assembly Type" dataDxfId="4"/>
    <tableColumn id="9" name="Extra" dataDxfId="3"/>
    <tableColumn id="10" name="Excess" dataDxfId="2"/>
    <tableColumn id="11" name="Add" dataDxfId="1"/>
    <tableColumn id="12" name="Quantity to Ord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34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51" t="s">
        <v>20</v>
      </c>
      <c r="H2" s="23" t="s">
        <v>12</v>
      </c>
      <c r="I2" s="52" t="s">
        <v>21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53" t="s">
        <v>22</v>
      </c>
      <c r="E4" s="8"/>
      <c r="F4" s="6"/>
      <c r="G4" s="57" t="s">
        <v>15</v>
      </c>
      <c r="H4" s="58"/>
      <c r="I4" s="54" t="s">
        <v>23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55" t="s">
        <v>24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56" t="s">
        <v>25</v>
      </c>
      <c r="E7" s="56" t="s">
        <v>26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45540</v>
      </c>
      <c r="E8" s="59">
        <f ca="1">NOW()</f>
        <v>45540.616619791668</v>
      </c>
      <c r="F8" s="60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39" t="s">
        <v>27</v>
      </c>
      <c r="C9" s="40" t="s">
        <v>28</v>
      </c>
      <c r="D9" s="40" t="s">
        <v>32</v>
      </c>
      <c r="E9" s="40" t="s">
        <v>46</v>
      </c>
      <c r="F9" s="40" t="s">
        <v>61</v>
      </c>
      <c r="G9" s="41" t="s">
        <v>73</v>
      </c>
      <c r="H9" s="40" t="s">
        <v>88</v>
      </c>
      <c r="I9" s="40" t="s">
        <v>97</v>
      </c>
      <c r="J9" s="41" t="s">
        <v>17</v>
      </c>
      <c r="K9" s="41" t="s">
        <v>18</v>
      </c>
      <c r="L9" s="41" t="s">
        <v>19</v>
      </c>
      <c r="M9" s="41" t="s">
        <v>10</v>
      </c>
    </row>
    <row r="10" spans="1:13" s="2" customFormat="1" ht="13" x14ac:dyDescent="0.25">
      <c r="A10" s="13"/>
      <c r="B10" s="47">
        <v>5</v>
      </c>
      <c r="C10" s="48" t="s">
        <v>29</v>
      </c>
      <c r="D10" s="48" t="s">
        <v>33</v>
      </c>
      <c r="E10" s="48" t="s">
        <v>47</v>
      </c>
      <c r="F10" s="48" t="s">
        <v>62</v>
      </c>
      <c r="G10" s="48" t="s">
        <v>74</v>
      </c>
      <c r="H10" s="48" t="s">
        <v>89</v>
      </c>
      <c r="I10" s="48" t="s">
        <v>31</v>
      </c>
      <c r="J10" s="50">
        <f>+IF(OR(I10="BGA",I10="FP",I10="TH"),1,IF($I$4*B10&lt;100,5,0))</f>
        <v>0</v>
      </c>
      <c r="K10" s="49">
        <f>+IF(AND(I10="",$I$4*B10&gt;100),0.05,0)</f>
        <v>0.05</v>
      </c>
      <c r="L10" s="50">
        <f>+ROUNDUP($I$4*B10*K10+J10,0)</f>
        <v>7</v>
      </c>
      <c r="M10" s="42">
        <f>+IF(OR(LEFT(G10&amp;"",1)="C",LEFT(G10&amp;"",1)="R"),ROUNDUP($I$4*B10+L10,-1),$I$4*B10+L10)</f>
        <v>140</v>
      </c>
    </row>
    <row r="11" spans="1:13" s="2" customFormat="1" ht="13" x14ac:dyDescent="0.25">
      <c r="A11" s="13"/>
      <c r="B11" s="47">
        <v>3</v>
      </c>
      <c r="C11" s="48" t="s">
        <v>29</v>
      </c>
      <c r="D11" s="48" t="s">
        <v>34</v>
      </c>
      <c r="E11" s="48" t="s">
        <v>48</v>
      </c>
      <c r="F11" s="48" t="s">
        <v>62</v>
      </c>
      <c r="G11" s="48" t="s">
        <v>75</v>
      </c>
      <c r="H11" s="48" t="s">
        <v>90</v>
      </c>
      <c r="I11" s="48" t="s">
        <v>31</v>
      </c>
      <c r="J11" s="50">
        <f t="shared" ref="J11" si="0">+IF(OR(I11="BGA",I11="FP",I11="TH"),1,IF($I$4*B11&lt;100,5,0))</f>
        <v>5</v>
      </c>
      <c r="K11" s="49">
        <f t="shared" ref="K11" si="1">+IF(AND(I11="",$I$4*B11&gt;100),0.05,0)</f>
        <v>0</v>
      </c>
      <c r="L11" s="50">
        <f t="shared" ref="L11" si="2">+ROUNDUP($I$4*B11*K11+J11,0)</f>
        <v>5</v>
      </c>
      <c r="M11" s="42">
        <f t="shared" ref="M11" si="3">+IF(OR(LEFT(G11&amp;"",1)="C",LEFT(G11&amp;"",1)="R"),ROUNDUP($I$4*B11+L11,-1),$I$4*B11+L11)</f>
        <v>80</v>
      </c>
    </row>
    <row r="12" spans="1:13" s="2" customFormat="1" ht="13" x14ac:dyDescent="0.25">
      <c r="A12" s="13"/>
      <c r="B12" s="47">
        <v>2</v>
      </c>
      <c r="C12" s="48" t="s">
        <v>29</v>
      </c>
      <c r="D12" s="48" t="s">
        <v>35</v>
      </c>
      <c r="E12" s="48" t="s">
        <v>49</v>
      </c>
      <c r="F12" s="48" t="s">
        <v>63</v>
      </c>
      <c r="G12" s="48" t="s">
        <v>76</v>
      </c>
      <c r="H12" s="48" t="s">
        <v>91</v>
      </c>
      <c r="I12" s="48" t="s">
        <v>31</v>
      </c>
      <c r="J12" s="50">
        <f>+IF(OR(I12="BGA",I12="FP",I12="TH"),1,IF($I$4*B12&lt;100,5,0))</f>
        <v>5</v>
      </c>
      <c r="K12" s="49">
        <f>+IF(AND(I12="",$I$4*B12&gt;100),0.05,0)</f>
        <v>0</v>
      </c>
      <c r="L12" s="50">
        <f>+ROUNDUP($I$4*B12*K12+J12,0)</f>
        <v>5</v>
      </c>
      <c r="M12" s="42">
        <f>+IF(OR(LEFT(G12&amp;"",1)="C",LEFT(G12&amp;"",1)="R"),ROUNDUP($I$4*B12+L12,-1),$I$4*B12+L12)</f>
        <v>55</v>
      </c>
    </row>
    <row r="13" spans="1:13" s="2" customFormat="1" ht="13" x14ac:dyDescent="0.25">
      <c r="A13" s="13"/>
      <c r="B13" s="47">
        <v>2</v>
      </c>
      <c r="C13" s="48" t="s">
        <v>29</v>
      </c>
      <c r="D13" s="48" t="s">
        <v>36</v>
      </c>
      <c r="E13" s="48" t="s">
        <v>50</v>
      </c>
      <c r="F13" s="48" t="s">
        <v>64</v>
      </c>
      <c r="G13" s="48" t="s">
        <v>77</v>
      </c>
      <c r="H13" s="48" t="s">
        <v>92</v>
      </c>
      <c r="I13" s="48" t="s">
        <v>31</v>
      </c>
      <c r="J13" s="50">
        <f t="shared" ref="J13" si="4">+IF(OR(I13="BGA",I13="FP",I13="TH"),1,IF($I$4*B13&lt;100,5,0))</f>
        <v>5</v>
      </c>
      <c r="K13" s="49">
        <f t="shared" ref="K13" si="5">+IF(AND(I13="",$I$4*B13&gt;100),0.05,0)</f>
        <v>0</v>
      </c>
      <c r="L13" s="50">
        <f t="shared" ref="L13" si="6">+ROUNDUP($I$4*B13*K13+J13,0)</f>
        <v>5</v>
      </c>
      <c r="M13" s="42">
        <f t="shared" ref="M13" si="7">+IF(OR(LEFT(G13&amp;"",1)="C",LEFT(G13&amp;"",1)="R"),ROUNDUP($I$4*B13+L13,-1),$I$4*B13+L13)</f>
        <v>55</v>
      </c>
    </row>
    <row r="14" spans="1:13" s="2" customFormat="1" ht="20.5" x14ac:dyDescent="0.25">
      <c r="A14" s="13"/>
      <c r="B14" s="47">
        <v>1</v>
      </c>
      <c r="C14" s="48" t="s">
        <v>29</v>
      </c>
      <c r="D14" s="48" t="s">
        <v>37</v>
      </c>
      <c r="E14" s="48" t="s">
        <v>51</v>
      </c>
      <c r="F14" s="48" t="s">
        <v>65</v>
      </c>
      <c r="G14" s="48" t="s">
        <v>78</v>
      </c>
      <c r="H14" s="48" t="s">
        <v>51</v>
      </c>
      <c r="I14" s="48" t="s">
        <v>98</v>
      </c>
      <c r="J14" s="50">
        <f>+IF(OR(I14="BGA",I14="FP",I14="TH"),1,IF($I$4*B14&lt;100,5,0))</f>
        <v>1</v>
      </c>
      <c r="K14" s="49">
        <f>+IF(AND(I14="",$I$4*B14&gt;100),0.05,0)</f>
        <v>0</v>
      </c>
      <c r="L14" s="50">
        <f>+ROUNDUP($I$4*B14*K14+J14,0)</f>
        <v>1</v>
      </c>
      <c r="M14" s="42">
        <f>+IF(OR(LEFT(G14&amp;"",1)="C",LEFT(G14&amp;"",1)="R"),ROUNDUP($I$4*B14+L14,-1),$I$4*B14+L14)</f>
        <v>26</v>
      </c>
    </row>
    <row r="15" spans="1:13" s="2" customFormat="1" ht="13" x14ac:dyDescent="0.25">
      <c r="A15" s="13"/>
      <c r="B15" s="47">
        <v>1</v>
      </c>
      <c r="C15" s="48" t="s">
        <v>29</v>
      </c>
      <c r="D15" s="48" t="s">
        <v>38</v>
      </c>
      <c r="E15" s="48" t="s">
        <v>52</v>
      </c>
      <c r="F15" s="48" t="s">
        <v>66</v>
      </c>
      <c r="G15" s="48" t="s">
        <v>79</v>
      </c>
      <c r="H15" s="48" t="s">
        <v>93</v>
      </c>
      <c r="I15" s="48" t="s">
        <v>98</v>
      </c>
      <c r="J15" s="50">
        <f t="shared" ref="J15" si="8">+IF(OR(I15="BGA",I15="FP",I15="TH"),1,IF($I$4*B15&lt;100,5,0))</f>
        <v>1</v>
      </c>
      <c r="K15" s="49">
        <f t="shared" ref="K15" si="9">+IF(AND(I15="",$I$4*B15&gt;100),0.05,0)</f>
        <v>0</v>
      </c>
      <c r="L15" s="50">
        <f t="shared" ref="L15" si="10">+ROUNDUP($I$4*B15*K15+J15,0)</f>
        <v>1</v>
      </c>
      <c r="M15" s="42">
        <f t="shared" ref="M15" si="11">+IF(OR(LEFT(G15&amp;"",1)="C",LEFT(G15&amp;"",1)="R"),ROUNDUP($I$4*B15+L15,-1),$I$4*B15+L15)</f>
        <v>26</v>
      </c>
    </row>
    <row r="16" spans="1:13" s="2" customFormat="1" ht="13" x14ac:dyDescent="0.25">
      <c r="A16" s="13"/>
      <c r="B16" s="47">
        <v>1</v>
      </c>
      <c r="C16" s="48" t="s">
        <v>30</v>
      </c>
      <c r="D16" s="48" t="s">
        <v>39</v>
      </c>
      <c r="E16" s="48" t="s">
        <v>53</v>
      </c>
      <c r="F16" s="48" t="s">
        <v>67</v>
      </c>
      <c r="G16" s="48" t="s">
        <v>80</v>
      </c>
      <c r="H16" s="48" t="s">
        <v>31</v>
      </c>
      <c r="I16" s="48" t="s">
        <v>99</v>
      </c>
      <c r="J16" s="50">
        <f>+IF(OR(I16="BGA",I16="FP",I16="TH"),1,IF($I$4*B16&lt;100,5,0))</f>
        <v>5</v>
      </c>
      <c r="K16" s="49">
        <f>+IF(AND(I16="",$I$4*B16&gt;100),0.05,0)</f>
        <v>0</v>
      </c>
      <c r="L16" s="50">
        <f>+ROUNDUP($I$4*B16*K16+J16,0)</f>
        <v>5</v>
      </c>
      <c r="M16" s="42">
        <f>+IF(OR(LEFT(G16&amp;"",1)="C",LEFT(G16&amp;"",1)="R"),ROUNDUP($I$4*B16+L16,-1),$I$4*B16+L16)</f>
        <v>30</v>
      </c>
    </row>
    <row r="17" spans="1:13" s="2" customFormat="1" ht="20.5" x14ac:dyDescent="0.25">
      <c r="A17" s="13"/>
      <c r="B17" s="47">
        <v>1</v>
      </c>
      <c r="C17" s="48" t="s">
        <v>29</v>
      </c>
      <c r="D17" s="48" t="s">
        <v>40</v>
      </c>
      <c r="E17" s="48" t="s">
        <v>54</v>
      </c>
      <c r="F17" s="48" t="s">
        <v>68</v>
      </c>
      <c r="G17" s="48" t="s">
        <v>81</v>
      </c>
      <c r="H17" s="48" t="s">
        <v>31</v>
      </c>
      <c r="I17" s="48" t="s">
        <v>99</v>
      </c>
      <c r="J17" s="50">
        <f t="shared" ref="J17" si="12">+IF(OR(I17="BGA",I17="FP",I17="TH"),1,IF($I$4*B17&lt;100,5,0))</f>
        <v>5</v>
      </c>
      <c r="K17" s="49">
        <f t="shared" ref="K17" si="13">+IF(AND(I17="",$I$4*B17&gt;100),0.05,0)</f>
        <v>0</v>
      </c>
      <c r="L17" s="50">
        <f t="shared" ref="L17" si="14">+ROUNDUP($I$4*B17*K17+J17,0)</f>
        <v>5</v>
      </c>
      <c r="M17" s="42">
        <f t="shared" ref="M17" si="15">+IF(OR(LEFT(G17&amp;"",1)="C",LEFT(G17&amp;"",1)="R"),ROUNDUP($I$4*B17+L17,-1),$I$4*B17+L17)</f>
        <v>30</v>
      </c>
    </row>
    <row r="18" spans="1:13" s="2" customFormat="1" ht="30.5" x14ac:dyDescent="0.25">
      <c r="A18" s="13"/>
      <c r="B18" s="47">
        <v>2</v>
      </c>
      <c r="C18" s="48" t="s">
        <v>29</v>
      </c>
      <c r="D18" s="48" t="s">
        <v>41</v>
      </c>
      <c r="E18" s="48" t="s">
        <v>55</v>
      </c>
      <c r="F18" s="48" t="s">
        <v>69</v>
      </c>
      <c r="G18" s="48" t="s">
        <v>82</v>
      </c>
      <c r="H18" s="48" t="s">
        <v>94</v>
      </c>
      <c r="I18" s="48" t="s">
        <v>31</v>
      </c>
      <c r="J18" s="50">
        <f>+IF(OR(I18="BGA",I18="FP",I18="TH"),1,IF($I$4*B18&lt;100,5,0))</f>
        <v>5</v>
      </c>
      <c r="K18" s="49">
        <f>+IF(AND(I18="",$I$4*B18&gt;100),0.05,0)</f>
        <v>0</v>
      </c>
      <c r="L18" s="50">
        <f>+ROUNDUP($I$4*B18*K18+J18,0)</f>
        <v>5</v>
      </c>
      <c r="M18" s="42">
        <f>+IF(OR(LEFT(G18&amp;"",1)="C",LEFT(G18&amp;"",1)="R"),ROUNDUP($I$4*B18+L18,-1),$I$4*B18+L18)</f>
        <v>55</v>
      </c>
    </row>
    <row r="19" spans="1:13" s="2" customFormat="1" ht="13" x14ac:dyDescent="0.25">
      <c r="A19" s="13"/>
      <c r="B19" s="47">
        <v>4</v>
      </c>
      <c r="C19" s="48" t="s">
        <v>29</v>
      </c>
      <c r="D19" s="48" t="s">
        <v>42</v>
      </c>
      <c r="E19" s="48" t="s">
        <v>56</v>
      </c>
      <c r="F19" s="48" t="s">
        <v>70</v>
      </c>
      <c r="G19" s="48" t="s">
        <v>83</v>
      </c>
      <c r="H19" s="48" t="s">
        <v>95</v>
      </c>
      <c r="I19" s="48" t="s">
        <v>31</v>
      </c>
      <c r="J19" s="50">
        <f t="shared" ref="J19" si="16">+IF(OR(I19="BGA",I19="FP",I19="TH"),1,IF($I$4*B19&lt;100,5,0))</f>
        <v>0</v>
      </c>
      <c r="K19" s="49">
        <f t="shared" ref="K19" si="17">+IF(AND(I19="",$I$4*B19&gt;100),0.05,0)</f>
        <v>0</v>
      </c>
      <c r="L19" s="50">
        <f t="shared" ref="L19" si="18">+ROUNDUP($I$4*B19*K19+J19,0)</f>
        <v>0</v>
      </c>
      <c r="M19" s="42">
        <f t="shared" ref="M19" si="19">+IF(OR(LEFT(G19&amp;"",1)="C",LEFT(G19&amp;"",1)="R"),ROUNDUP($I$4*B19+L19,-1),$I$4*B19+L19)</f>
        <v>100</v>
      </c>
    </row>
    <row r="20" spans="1:13" s="2" customFormat="1" ht="13" x14ac:dyDescent="0.25">
      <c r="A20" s="13"/>
      <c r="B20" s="47">
        <v>2</v>
      </c>
      <c r="C20" s="48" t="s">
        <v>29</v>
      </c>
      <c r="D20" s="48" t="s">
        <v>43</v>
      </c>
      <c r="E20" s="48" t="s">
        <v>57</v>
      </c>
      <c r="F20" s="48" t="s">
        <v>70</v>
      </c>
      <c r="G20" s="48" t="s">
        <v>84</v>
      </c>
      <c r="H20" s="48" t="s">
        <v>95</v>
      </c>
      <c r="I20" s="48" t="s">
        <v>31</v>
      </c>
      <c r="J20" s="50">
        <f>+IF(OR(I20="BGA",I20="FP",I20="TH"),1,IF($I$4*B20&lt;100,5,0))</f>
        <v>5</v>
      </c>
      <c r="K20" s="49">
        <f>+IF(AND(I20="",$I$4*B20&gt;100),0.05,0)</f>
        <v>0</v>
      </c>
      <c r="L20" s="50">
        <f>+ROUNDUP($I$4*B20*K20+J20,0)</f>
        <v>5</v>
      </c>
      <c r="M20" s="42">
        <f>+IF(OR(LEFT(G20&amp;"",1)="C",LEFT(G20&amp;"",1)="R"),ROUNDUP($I$4*B20+L20,-1),$I$4*B20+L20)</f>
        <v>60</v>
      </c>
    </row>
    <row r="21" spans="1:13" s="2" customFormat="1" ht="13" x14ac:dyDescent="0.25">
      <c r="A21" s="13"/>
      <c r="B21" s="47">
        <v>2</v>
      </c>
      <c r="C21" s="48" t="s">
        <v>31</v>
      </c>
      <c r="D21" s="48" t="s">
        <v>31</v>
      </c>
      <c r="E21" s="48" t="s">
        <v>58</v>
      </c>
      <c r="F21" s="48" t="s">
        <v>70</v>
      </c>
      <c r="G21" s="48" t="s">
        <v>85</v>
      </c>
      <c r="H21" s="48" t="s">
        <v>95</v>
      </c>
      <c r="I21" s="48" t="s">
        <v>31</v>
      </c>
      <c r="J21" s="50">
        <f t="shared" ref="J21" si="20">+IF(OR(I21="BGA",I21="FP",I21="TH"),1,IF($I$4*B21&lt;100,5,0))</f>
        <v>5</v>
      </c>
      <c r="K21" s="49">
        <f t="shared" ref="K21" si="21">+IF(AND(I21="",$I$4*B21&gt;100),0.05,0)</f>
        <v>0</v>
      </c>
      <c r="L21" s="50">
        <f t="shared" ref="L21" si="22">+ROUNDUP($I$4*B21*K21+J21,0)</f>
        <v>5</v>
      </c>
      <c r="M21" s="42">
        <f t="shared" ref="M21" si="23">+IF(OR(LEFT(G21&amp;"",1)="C",LEFT(G21&amp;"",1)="R"),ROUNDUP($I$4*B21+L21,-1),$I$4*B21+L21)</f>
        <v>60</v>
      </c>
    </row>
    <row r="22" spans="1:13" s="2" customFormat="1" ht="13" x14ac:dyDescent="0.25">
      <c r="A22" s="13"/>
      <c r="B22" s="47">
        <v>2</v>
      </c>
      <c r="C22" s="48" t="s">
        <v>29</v>
      </c>
      <c r="D22" s="48" t="s">
        <v>44</v>
      </c>
      <c r="E22" s="48" t="s">
        <v>59</v>
      </c>
      <c r="F22" s="48" t="s">
        <v>71</v>
      </c>
      <c r="G22" s="48" t="s">
        <v>86</v>
      </c>
      <c r="H22" s="48" t="s">
        <v>96</v>
      </c>
      <c r="I22" s="48" t="s">
        <v>31</v>
      </c>
      <c r="J22" s="50">
        <f>+IF(OR(I22="BGA",I22="FP",I22="TH"),1,IF($I$4*B22&lt;100,5,0))</f>
        <v>5</v>
      </c>
      <c r="K22" s="49">
        <f>+IF(AND(I22="",$I$4*B22&gt;100),0.05,0)</f>
        <v>0</v>
      </c>
      <c r="L22" s="50">
        <f>+ROUNDUP($I$4*B22*K22+J22,0)</f>
        <v>5</v>
      </c>
      <c r="M22" s="42">
        <f>+IF(OR(LEFT(G22&amp;"",1)="C",LEFT(G22&amp;"",1)="R"),ROUNDUP($I$4*B22+L22,-1),$I$4*B22+L22)</f>
        <v>55</v>
      </c>
    </row>
    <row r="23" spans="1:13" x14ac:dyDescent="0.25">
      <c r="A23" s="13"/>
      <c r="B23" s="47">
        <v>2</v>
      </c>
      <c r="C23" s="48" t="s">
        <v>29</v>
      </c>
      <c r="D23" s="48" t="s">
        <v>45</v>
      </c>
      <c r="E23" s="48" t="s">
        <v>60</v>
      </c>
      <c r="F23" s="48" t="s">
        <v>72</v>
      </c>
      <c r="G23" s="48" t="s">
        <v>87</v>
      </c>
      <c r="H23" s="48" t="s">
        <v>96</v>
      </c>
      <c r="I23" s="48" t="s">
        <v>31</v>
      </c>
      <c r="J23" s="50">
        <f t="shared" ref="J23" si="24">+IF(OR(I23="BGA",I23="FP",I23="TH"),1,IF($I$4*B23&lt;100,5,0))</f>
        <v>5</v>
      </c>
      <c r="K23" s="49">
        <f t="shared" ref="K23" si="25">+IF(AND(I23="",$I$4*B23&gt;100),0.05,0)</f>
        <v>0</v>
      </c>
      <c r="L23" s="50">
        <f t="shared" ref="L23" si="26">+ROUNDUP($I$4*B23*K23+J23,0)</f>
        <v>5</v>
      </c>
      <c r="M23" s="42">
        <f t="shared" ref="M23" si="27">+IF(OR(LEFT(G23&amp;"",1)="C",LEFT(G23&amp;"",1)="R"),ROUNDUP($I$4*B23+L23,-1),$I$4*B23+L23)</f>
        <v>55</v>
      </c>
    </row>
    <row r="24" spans="1:13" x14ac:dyDescent="0.25">
      <c r="A24" s="14"/>
      <c r="B24" s="43">
        <f>SUM(B10:B23)</f>
        <v>30</v>
      </c>
      <c r="C24" s="44" t="s">
        <v>9</v>
      </c>
      <c r="D24" s="45"/>
      <c r="E24" s="44"/>
      <c r="F24" s="44"/>
      <c r="G24" s="46"/>
      <c r="H24" s="46"/>
      <c r="I24" s="44"/>
      <c r="J24" s="46"/>
      <c r="K24" s="46"/>
      <c r="L24" s="46"/>
      <c r="M24" s="46"/>
    </row>
    <row r="25" spans="1:13" x14ac:dyDescent="0.25">
      <c r="B25" s="1"/>
      <c r="C25" s="1"/>
    </row>
    <row r="26" spans="1:13" x14ac:dyDescent="0.25">
      <c r="B26" s="1"/>
      <c r="C26" s="1"/>
    </row>
    <row r="27" spans="1:13" x14ac:dyDescent="0.25">
      <c r="B27" s="1"/>
      <c r="C27" s="1"/>
    </row>
    <row r="28" spans="1:13" ht="17.5" x14ac:dyDescent="0.25">
      <c r="B28" s="1"/>
      <c r="C28" s="61" t="s">
        <v>8</v>
      </c>
      <c r="D28" s="62"/>
      <c r="E28" s="63"/>
      <c r="F28" s="21"/>
      <c r="G28" s="22"/>
    </row>
    <row r="29" spans="1:13" x14ac:dyDescent="0.25">
      <c r="C29" s="34" t="s">
        <v>3</v>
      </c>
      <c r="D29" s="35"/>
      <c r="E29" s="36">
        <f>COUNT(B10:B23)</f>
        <v>14</v>
      </c>
    </row>
    <row r="30" spans="1:13" x14ac:dyDescent="0.25">
      <c r="C30" s="16" t="s">
        <v>4</v>
      </c>
      <c r="D30" s="31"/>
      <c r="E30" s="29">
        <f>SUMIF($I$10:$I$23, "", $B$10:$B$23)</f>
        <v>26</v>
      </c>
    </row>
    <row r="31" spans="1:13" x14ac:dyDescent="0.25">
      <c r="C31" s="34" t="s">
        <v>5</v>
      </c>
      <c r="D31" s="35"/>
      <c r="E31" s="37">
        <f>SUMIF($I$10:$I$23, "TH", $B$10:$B$23)</f>
        <v>2</v>
      </c>
    </row>
    <row r="32" spans="1:13" x14ac:dyDescent="0.25">
      <c r="C32" s="16" t="s">
        <v>6</v>
      </c>
      <c r="D32" s="31"/>
      <c r="E32" s="29">
        <f>SUMIF($I$10:$I$23, "FP", $B$10:$B$23)</f>
        <v>0</v>
      </c>
    </row>
    <row r="33" spans="3:5" x14ac:dyDescent="0.25">
      <c r="C33" s="34" t="s">
        <v>7</v>
      </c>
      <c r="D33" s="35"/>
      <c r="E33" s="37">
        <f>SUMIF($I$10:$I$23, "BGA", $B$10:$B$23)</f>
        <v>0</v>
      </c>
    </row>
    <row r="34" spans="3:5" x14ac:dyDescent="0.25">
      <c r="C34" s="28" t="s">
        <v>16</v>
      </c>
      <c r="D34" s="32"/>
      <c r="E34" s="30">
        <f>SUMIF($I$10:$I$23, "M", $B$10:$B$23)</f>
        <v>2</v>
      </c>
    </row>
  </sheetData>
  <mergeCells count="3">
    <mergeCell ref="G4:H4"/>
    <mergeCell ref="E8:F8"/>
    <mergeCell ref="C28:E28"/>
  </mergeCells>
  <phoneticPr fontId="0" type="noConversion"/>
  <conditionalFormatting sqref="B10:L11">
    <cfRule type="expression" dxfId="29" priority="13" stopIfTrue="1">
      <formula>MOD(ROW(),2)=1</formula>
    </cfRule>
    <cfRule type="expression" dxfId="28" priority="14" stopIfTrue="1">
      <formula>MMOD(ROW(),2)=0</formula>
    </cfRule>
  </conditionalFormatting>
  <conditionalFormatting sqref="B12:L13">
    <cfRule type="expression" dxfId="27" priority="11" stopIfTrue="1">
      <formula>MOD(ROW(),2)=1</formula>
    </cfRule>
    <cfRule type="expression" dxfId="26" priority="12" stopIfTrue="1">
      <formula>MMOD(ROW(),2)=0</formula>
    </cfRule>
  </conditionalFormatting>
  <conditionalFormatting sqref="B14:L15">
    <cfRule type="expression" dxfId="25" priority="9" stopIfTrue="1">
      <formula>MOD(ROW(),2)=1</formula>
    </cfRule>
    <cfRule type="expression" dxfId="24" priority="10" stopIfTrue="1">
      <formula>MMOD(ROW(),2)=0</formula>
    </cfRule>
  </conditionalFormatting>
  <conditionalFormatting sqref="B16:L17">
    <cfRule type="expression" dxfId="23" priority="7" stopIfTrue="1">
      <formula>MOD(ROW(),2)=1</formula>
    </cfRule>
    <cfRule type="expression" dxfId="22" priority="8" stopIfTrue="1">
      <formula>MMOD(ROW(),2)=0</formula>
    </cfRule>
  </conditionalFormatting>
  <conditionalFormatting sqref="B18:L19">
    <cfRule type="expression" dxfId="21" priority="5" stopIfTrue="1">
      <formula>MOD(ROW(),2)=1</formula>
    </cfRule>
    <cfRule type="expression" dxfId="20" priority="6" stopIfTrue="1">
      <formula>MMOD(ROW(),2)=0</formula>
    </cfRule>
  </conditionalFormatting>
  <conditionalFormatting sqref="B20:L21">
    <cfRule type="expression" dxfId="19" priority="3" stopIfTrue="1">
      <formula>MOD(ROW(),2)=1</formula>
    </cfRule>
    <cfRule type="expression" dxfId="18" priority="4" stopIfTrue="1">
      <formula>MMOD(ROW(),2)=0</formula>
    </cfRule>
  </conditionalFormatting>
  <conditionalFormatting sqref="B22:L23">
    <cfRule type="expression" dxfId="17" priority="1" stopIfTrue="1">
      <formula>MOD(ROW(),2)=1</formula>
    </cfRule>
    <cfRule type="expression" dxfId="16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2024-09-05T21:48:02Z</dcterms:modified>
</cp:coreProperties>
</file>