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Converter\Testing\RelayMatrix_33_4\Project Outputs for RelayMatrix334\"/>
    </mc:Choice>
  </mc:AlternateContent>
  <xr:revisionPtr revIDLastSave="0" documentId="13_ncr:1_{14635EEE-3E2B-4520-83A8-1161B5BA27BC}" xr6:coauthVersionLast="47" xr6:coauthVersionMax="47" xr10:uidLastSave="{00000000-0000-0000-0000-000000000000}"/>
  <bookViews>
    <workbookView xWindow="1780" yWindow="310" windowWidth="23340" windowHeight="2055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1" i="3" l="1"/>
  <c r="J51" i="3"/>
  <c r="K50" i="3"/>
  <c r="L50" i="3" s="1"/>
  <c r="M50" i="3" s="1"/>
  <c r="J50" i="3"/>
  <c r="K49" i="3"/>
  <c r="J49" i="3"/>
  <c r="K48" i="3"/>
  <c r="J48" i="3"/>
  <c r="K47" i="3"/>
  <c r="J47" i="3"/>
  <c r="K46" i="3"/>
  <c r="L46" i="3" s="1"/>
  <c r="M46" i="3" s="1"/>
  <c r="J46" i="3"/>
  <c r="K45" i="3"/>
  <c r="J45" i="3"/>
  <c r="K44" i="3"/>
  <c r="J44" i="3"/>
  <c r="K43" i="3"/>
  <c r="J43" i="3"/>
  <c r="K42" i="3"/>
  <c r="L42" i="3" s="1"/>
  <c r="M42" i="3" s="1"/>
  <c r="J42" i="3"/>
  <c r="K41" i="3"/>
  <c r="J41" i="3"/>
  <c r="K40" i="3"/>
  <c r="J40" i="3"/>
  <c r="K39" i="3"/>
  <c r="J39" i="3"/>
  <c r="K38" i="3"/>
  <c r="L38" i="3" s="1"/>
  <c r="M38" i="3" s="1"/>
  <c r="J38" i="3"/>
  <c r="K37" i="3"/>
  <c r="J37" i="3"/>
  <c r="K36" i="3"/>
  <c r="J36" i="3"/>
  <c r="K35" i="3"/>
  <c r="J35" i="3"/>
  <c r="K34" i="3"/>
  <c r="L34" i="3" s="1"/>
  <c r="M34" i="3" s="1"/>
  <c r="J34" i="3"/>
  <c r="K33" i="3"/>
  <c r="J33" i="3"/>
  <c r="K32" i="3"/>
  <c r="J32" i="3"/>
  <c r="K31" i="3"/>
  <c r="J31" i="3"/>
  <c r="K30" i="3"/>
  <c r="J30" i="3"/>
  <c r="K29" i="3"/>
  <c r="J29" i="3"/>
  <c r="K28" i="3"/>
  <c r="J28" i="3"/>
  <c r="K27" i="3"/>
  <c r="J27" i="3"/>
  <c r="K26" i="3"/>
  <c r="J26" i="3"/>
  <c r="K25" i="3"/>
  <c r="J25" i="3"/>
  <c r="K24" i="3"/>
  <c r="J24" i="3"/>
  <c r="K23" i="3"/>
  <c r="J23" i="3"/>
  <c r="K22" i="3"/>
  <c r="J22" i="3"/>
  <c r="K21" i="3"/>
  <c r="J21" i="3"/>
  <c r="K20" i="3"/>
  <c r="J20" i="3"/>
  <c r="K19" i="3"/>
  <c r="J19" i="3"/>
  <c r="K18" i="3"/>
  <c r="J18" i="3"/>
  <c r="K17" i="3"/>
  <c r="J17" i="3"/>
  <c r="K16" i="3"/>
  <c r="J16" i="3"/>
  <c r="L16" i="3" s="1"/>
  <c r="M16" i="3" s="1"/>
  <c r="K15" i="3"/>
  <c r="J15" i="3"/>
  <c r="K14" i="3"/>
  <c r="J14" i="3"/>
  <c r="K13" i="3"/>
  <c r="J13" i="3"/>
  <c r="K12" i="3"/>
  <c r="J12" i="3"/>
  <c r="K11" i="3"/>
  <c r="J11" i="3"/>
  <c r="L13" i="3" l="1"/>
  <c r="M13" i="3" s="1"/>
  <c r="L21" i="3"/>
  <c r="M21" i="3" s="1"/>
  <c r="L25" i="3"/>
  <c r="M25" i="3" s="1"/>
  <c r="L29" i="3"/>
  <c r="M29" i="3" s="1"/>
  <c r="L17" i="3"/>
  <c r="M17" i="3" s="1"/>
  <c r="L11" i="3"/>
  <c r="M11" i="3" s="1"/>
  <c r="L15" i="3"/>
  <c r="M15" i="3" s="1"/>
  <c r="L19" i="3"/>
  <c r="M19" i="3" s="1"/>
  <c r="L23" i="3"/>
  <c r="M23" i="3" s="1"/>
  <c r="L27" i="3"/>
  <c r="M27" i="3" s="1"/>
  <c r="L31" i="3"/>
  <c r="M31" i="3" s="1"/>
  <c r="L36" i="3"/>
  <c r="M36" i="3" s="1"/>
  <c r="L40" i="3"/>
  <c r="M40" i="3" s="1"/>
  <c r="L44" i="3"/>
  <c r="M44" i="3" s="1"/>
  <c r="L14" i="3"/>
  <c r="M14" i="3" s="1"/>
  <c r="L48" i="3"/>
  <c r="M48" i="3" s="1"/>
  <c r="L20" i="3"/>
  <c r="M20" i="3" s="1"/>
  <c r="L22" i="3"/>
  <c r="M22" i="3" s="1"/>
  <c r="L26" i="3"/>
  <c r="M26" i="3" s="1"/>
  <c r="L30" i="3"/>
  <c r="M30" i="3" s="1"/>
  <c r="L33" i="3"/>
  <c r="M33" i="3" s="1"/>
  <c r="L37" i="3"/>
  <c r="M37" i="3" s="1"/>
  <c r="L41" i="3"/>
  <c r="M41" i="3" s="1"/>
  <c r="L45" i="3"/>
  <c r="M45" i="3" s="1"/>
  <c r="L49" i="3"/>
  <c r="M49" i="3" s="1"/>
  <c r="L18" i="3"/>
  <c r="M18" i="3" s="1"/>
  <c r="L12" i="3"/>
  <c r="M12" i="3" s="1"/>
  <c r="L24" i="3"/>
  <c r="M24" i="3" s="1"/>
  <c r="L28" i="3"/>
  <c r="M28" i="3" s="1"/>
  <c r="L32" i="3"/>
  <c r="M32" i="3" s="1"/>
  <c r="L35" i="3"/>
  <c r="M35" i="3" s="1"/>
  <c r="L39" i="3"/>
  <c r="M39" i="3" s="1"/>
  <c r="L43" i="3"/>
  <c r="M43" i="3" s="1"/>
  <c r="L47" i="3"/>
  <c r="M47" i="3" s="1"/>
  <c r="L51" i="3"/>
  <c r="M51" i="3" s="1"/>
  <c r="K10" i="3"/>
  <c r="J10" i="3"/>
  <c r="E62" i="3"/>
  <c r="E61" i="3"/>
  <c r="E60" i="3"/>
  <c r="E59" i="3"/>
  <c r="E58" i="3"/>
  <c r="E57" i="3"/>
  <c r="B52" i="3"/>
  <c r="D8" i="3"/>
  <c r="E8" i="3"/>
  <c r="L10" i="3" l="1"/>
  <c r="M10" i="3"/>
</calcChain>
</file>

<file path=xl/sharedStrings.xml><?xml version="1.0" encoding="utf-8"?>
<sst xmlns="http://schemas.openxmlformats.org/spreadsheetml/2006/main" count="322" uniqueCount="227">
  <si>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</si>
  <si>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</si>
  <si>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</si>
  <si>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</si>
  <si>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</si>
  <si>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</si>
  <si>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</si>
  <si>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</si>
  <si>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</si>
  <si>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</si>
  <si>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</si>
  <si>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</si>
  <si>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</si>
  <si>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</si>
  <si>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</si>
  <si>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</si>
  <si>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</si>
  <si>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</si>
  <si>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</si>
  <si>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</si>
  <si>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D2500169</t>
  </si>
  <si>
    <t>1</t>
  </si>
  <si>
    <t>RelayMatrix334.PrjPcb</t>
  </si>
  <si>
    <t>2</t>
  </si>
  <si>
    <t/>
  </si>
  <si>
    <t>8/20/2025</t>
  </si>
  <si>
    <t>5:49 PM</t>
  </si>
  <si>
    <t>Quantity</t>
  </si>
  <si>
    <t>Distributor</t>
  </si>
  <si>
    <t>Digi-Key</t>
  </si>
  <si>
    <t>McMaster-Carr</t>
  </si>
  <si>
    <t>Digikey</t>
  </si>
  <si>
    <t>Part Number</t>
  </si>
  <si>
    <t>36-708-ND</t>
  </si>
  <si>
    <t>311-1140-1-ND</t>
  </si>
  <si>
    <t>490-GRM3195C1H104JA05DCT-ND</t>
  </si>
  <si>
    <t>445-C5750X7R1V476M230KCCT-ND</t>
  </si>
  <si>
    <t>RS2G-E3/52TGICT-ND</t>
  </si>
  <si>
    <t>90272A108</t>
  </si>
  <si>
    <t>91113A005</t>
  </si>
  <si>
    <t>90480A005</t>
  </si>
  <si>
    <t>17-5-1814832-2CT-ND</t>
  </si>
  <si>
    <t>D37P23A6GX00LF-ND</t>
  </si>
  <si>
    <t>D37S33E6GX00LF-ND</t>
  </si>
  <si>
    <t>609-4954-ND</t>
  </si>
  <si>
    <t>609-6160-ND</t>
  </si>
  <si>
    <t>609-5195-ND</t>
  </si>
  <si>
    <t>PB1091CT-ND</t>
  </si>
  <si>
    <t>SAM10844-ND</t>
  </si>
  <si>
    <t>WM5236-ND</t>
  </si>
  <si>
    <t>A31814-ND</t>
  </si>
  <si>
    <t>MHC16K-ND</t>
  </si>
  <si>
    <t>S9337-ND</t>
  </si>
  <si>
    <t>A23470-ND</t>
  </si>
  <si>
    <t>FDN337NCT-ND</t>
  </si>
  <si>
    <t>311-10.0KCRCT-ND</t>
  </si>
  <si>
    <t>311-100KCRCT-ND</t>
  </si>
  <si>
    <t>311-499CRCT-ND</t>
  </si>
  <si>
    <t>541-0.0ACT-ND</t>
  </si>
  <si>
    <t>1825008-4-ND</t>
  </si>
  <si>
    <t>5006K-ND</t>
  </si>
  <si>
    <t>5005K-ND</t>
  </si>
  <si>
    <t>5007K-ND</t>
  </si>
  <si>
    <t>296-18588-1-ND</t>
  </si>
  <si>
    <t>296-1129-1-ND</t>
  </si>
  <si>
    <t>296-DRV8220DRLRCT-ND</t>
  </si>
  <si>
    <t>296-4651-1-ND</t>
  </si>
  <si>
    <t>LM2940CSX-5.0/NOPBCT-ND</t>
  </si>
  <si>
    <t>296-11599-1-ND</t>
  </si>
  <si>
    <t>296-14701-1-ND</t>
  </si>
  <si>
    <t>559-1027-1-ND</t>
  </si>
  <si>
    <t>296-1074-1-ND</t>
  </si>
  <si>
    <t>296-9757-1-ND</t>
  </si>
  <si>
    <t>LM2940CSX-12/NOPBCT-ND</t>
  </si>
  <si>
    <t>296-11601-1-ND</t>
  </si>
  <si>
    <t>Comment</t>
  </si>
  <si>
    <t>Bracket</t>
  </si>
  <si>
    <t>100n</t>
  </si>
  <si>
    <t>47u</t>
  </si>
  <si>
    <t>RS2G</t>
  </si>
  <si>
    <t>#4 screw, 3/8"</t>
  </si>
  <si>
    <t>#4 lock washer</t>
  </si>
  <si>
    <t>#4 nut</t>
  </si>
  <si>
    <t>SMA</t>
  </si>
  <si>
    <t>DB37M</t>
  </si>
  <si>
    <t>DB37F</t>
  </si>
  <si>
    <t>DB9M</t>
  </si>
  <si>
    <t>DB9F</t>
  </si>
  <si>
    <t>DB15F</t>
  </si>
  <si>
    <t>IM46GR</t>
  </si>
  <si>
    <t>Header 2</t>
  </si>
  <si>
    <t>Header 3H</t>
  </si>
  <si>
    <t>787082-7</t>
  </si>
  <si>
    <t>09 18 516 6324</t>
  </si>
  <si>
    <t>Jumper</t>
  </si>
  <si>
    <t>Screwlock Kit</t>
  </si>
  <si>
    <t>FDV337N</t>
  </si>
  <si>
    <t>10K</t>
  </si>
  <si>
    <t>100K</t>
  </si>
  <si>
    <t>499</t>
  </si>
  <si>
    <t>0</t>
  </si>
  <si>
    <t>CRD16</t>
  </si>
  <si>
    <t>GND</t>
  </si>
  <si>
    <t>VR, V+, VCC</t>
  </si>
  <si>
    <t>V-</t>
  </si>
  <si>
    <t>SN74LVC1G373</t>
  </si>
  <si>
    <t>SN74ALS573CDW</t>
  </si>
  <si>
    <t>DRV8220DRLR</t>
  </si>
  <si>
    <t>SN74AHCT123APWR</t>
  </si>
  <si>
    <t>LM2940CSX-5.0</t>
  </si>
  <si>
    <t>SN74LVC1G04</t>
  </si>
  <si>
    <t>SN74AHCT138D</t>
  </si>
  <si>
    <t>PS2702-1-F3-A</t>
  </si>
  <si>
    <t>SN74ACT32D</t>
  </si>
  <si>
    <t>SN74ACT86D</t>
  </si>
  <si>
    <t>LM2940CSX-12</t>
  </si>
  <si>
    <t>SN74LVC1G08</t>
  </si>
  <si>
    <t>Description</t>
  </si>
  <si>
    <t>Keystone Electronics right-angle 6-32 steel, 708</t>
  </si>
  <si>
    <t>Capacitor, surface mount</t>
  </si>
  <si>
    <t>Single diode</t>
  </si>
  <si>
    <t>Mounting hardware</t>
  </si>
  <si>
    <t>SMA, PCB Mount, Right Angle</t>
  </si>
  <si>
    <t>Plug Assembly, 37 Position, Right Angle, .318 Series</t>
  </si>
  <si>
    <t>Receptacle Assembly, 37 Position, Right Angle, .318 Series</t>
  </si>
  <si>
    <t>Plug Assembly, 9 Position, Right Angle, .318 Series</t>
  </si>
  <si>
    <t>Receptacle Assembly, 9 Position, Right Angle, .318 Series</t>
  </si>
  <si>
    <t>Receptacle Assembly, 15 Position, Right Angle, .318 Series</t>
  </si>
  <si>
    <t>Dual-pole dual-throw relay, bistable</t>
  </si>
  <si>
    <t>Header, 2-Pin</t>
  </si>
  <si>
    <t>Header, 3-Pin, Right Angle</t>
  </si>
  <si>
    <t>Receptacle Assembly, Shielded, Right Angle, AMPLIMITE</t>
  </si>
  <si>
    <t>Flat Cable Connector (IDC), Low-Profile Male Header, Straight Solder Pin, 16 Contacts, Performance Level 2</t>
  </si>
  <si>
    <t>Jackscrew Socket, Slotted For AMPLIMITE Series: 786585-2</t>
  </si>
  <si>
    <t>FDV301N, Digital FET, N-channel, SOT23</t>
  </si>
  <si>
    <t>Resistor, surface mount</t>
  </si>
  <si>
    <t>Rotary DIP switch, hex</t>
  </si>
  <si>
    <t>Testpoint, black</t>
  </si>
  <si>
    <t>Testpoint, red</t>
  </si>
  <si>
    <t>Testpoint, white</t>
  </si>
  <si>
    <t>Single D-type latch</t>
  </si>
  <si>
    <t>Octal D-Type Transparent Latches with 3-State Outputs</t>
  </si>
  <si>
    <t>Integrated Circuit</t>
  </si>
  <si>
    <t>Dual Retriggerable Monostable Multivibrators, PW0016A, LARGE T&amp;R</t>
  </si>
  <si>
    <t>1A Low Dropout Regulator, 3-pin TO-263</t>
  </si>
  <si>
    <t>Single inverter</t>
  </si>
  <si>
    <t>3-Line to 8-Line Decoder / Demultiplexer</t>
  </si>
  <si>
    <t>High Isolation Voltage SOP Photocoupler</t>
  </si>
  <si>
    <t>Quadruple 2-Input Positive-OR Gate</t>
  </si>
  <si>
    <t>Quadruple 2-Input Exclusive-OR Gate</t>
  </si>
  <si>
    <t>Single AND gate</t>
  </si>
  <si>
    <t>Designator</t>
  </si>
  <si>
    <t>B1, B2, B3</t>
  </si>
  <si>
    <t>C1io, C1mA, C1mB, C1mC, C1mD, C1mE, C1v, C2io, C2mA, C2mB, C2mC, C2mD, C2mE, C2v, C3, C3io, C3mA, C3mB, C3mC, C3mD, C3mE, C3rA, C3rB, C3rC, C3rD, C3rE, C3rF, C3rG, C3rH, C3rI, C3rJ, C3rK, C4, C4io, C4mA, C4mB, C4mC, C4mD, C4mE, C5, C5io, C6io, C6v</t>
  </si>
  <si>
    <t>C1rA, C1rB, C1rC, C1rD, C1rE, C1rF, C1rG, C1rH, C1rI, C1rJ, C1rK, C2rA, C2rB, C2rC, C2rD, C2rE, C2rF, C2rG, C2rH, C2rI, C2rJ, C2rK</t>
  </si>
  <si>
    <t>C3v, C4v, C5mA, C5mB, C5mC, C5mD, C5mE, C5v, C6mA, C6mB, C6mC, C6mD, C6mE</t>
  </si>
  <si>
    <t>D1mA, D1mB, D1mC, D1mD, D1mE, D1v, D2mA, D2mB, D2mC, D2mD, D2mE, D2v</t>
  </si>
  <si>
    <t>H1, H2, H7, H8, H13, H14</t>
  </si>
  <si>
    <t>H3, H4, H9, H10, H15, H16</t>
  </si>
  <si>
    <t>H5, H6, H11, H12, H17, H18</t>
  </si>
  <si>
    <t>J1, J2, J3, J4</t>
  </si>
  <si>
    <t>J1io</t>
  </si>
  <si>
    <t>J2io</t>
  </si>
  <si>
    <t>J5</t>
  </si>
  <si>
    <t>J6</t>
  </si>
  <si>
    <t>J7</t>
  </si>
  <si>
    <t>K1mA, K1mB, K1mC, K1mD, K1mE, K2mA, K2mB, K2mC, K2mD, K2mE, K3mA, K3mB, K3mC, K3mD, K3mE, K4mA, K4mB, K4mC, K4mD, K4mE, K5mA, K5mB, K5mC, K5mD, K5mE, K6mA, K6mB, K6mC, K6mD, K6mE, K7mA, K7mB, K7mC, K7mD, K7mE, K8mA, K8mB, K8mC, K8mD, K8mE</t>
  </si>
  <si>
    <t>P1</t>
  </si>
  <si>
    <t>P1v</t>
  </si>
  <si>
    <t>P2</t>
  </si>
  <si>
    <t>P3</t>
  </si>
  <si>
    <t>PN1</t>
  </si>
  <si>
    <t>PN2</t>
  </si>
  <si>
    <t>Q1io, Q2io, Q3io, Q4io, Q5io, Q6io, Q7io, Q8io</t>
  </si>
  <si>
    <t>R1io, R2io, R3, R3io, R4io, R5io, R6io, R7io, R8io, R9io, R10io, R11io, R12io, R13io, R14io, R15io, R16io, R18io, R19io, R20io, R21io, R22io, R23io, R24io, R25io, R26io, R27io, R28io, R29io</t>
  </si>
  <si>
    <t>R1rA, R1rB, R1rC, R1rD, R1rE, R1rF, R1rG, R1rH, R1rI, R1rJ, R1rK, R2rA, R2rB, R2rC, R2rD, R2rE, R2rF, R2rG, R2rH, R2rI, R2rJ, R2rK</t>
  </si>
  <si>
    <t>R4, R5</t>
  </si>
  <si>
    <t>R17io</t>
  </si>
  <si>
    <t>S1io</t>
  </si>
  <si>
    <t>TP1, TP2, TP2mA, TP2mB, TP2mC, TP2mD, TP2mE, TP4v</t>
  </si>
  <si>
    <t>TP1mA, TP1mB, TP1mC, TP1mD, TP1mE, TP2v, TP3v</t>
  </si>
  <si>
    <t>TP1v</t>
  </si>
  <si>
    <t>U1, U3</t>
  </si>
  <si>
    <t>U1io, U2io</t>
  </si>
  <si>
    <t>U1mA, U1mB, U1mC, U1mD, U1mE, U2mA, U2mB, U2mC, U2mD, U2mE, U3mA, U3mB, U3mC, U3mD, U3mE, U4mA, U4mB, U4mC, U4mD, U4mE</t>
  </si>
  <si>
    <t>U1rA, U1rB, U1rC, U1rD, U1rE, U1rF, U1rG, U1rH, U1rI, U1rJ, U1rK</t>
  </si>
  <si>
    <t>U1v</t>
  </si>
  <si>
    <t>U2</t>
  </si>
  <si>
    <t>U3io</t>
  </si>
  <si>
    <t>U4, U5</t>
  </si>
  <si>
    <t>U4io</t>
  </si>
  <si>
    <t>U5io</t>
  </si>
  <si>
    <t>U5mA, U5mB, U5mC, U5mD, U5mE</t>
  </si>
  <si>
    <t>U6io</t>
  </si>
  <si>
    <t>Footprint</t>
  </si>
  <si>
    <t>Bracket-RA_708</t>
  </si>
  <si>
    <t>CC2013-0805</t>
  </si>
  <si>
    <t>CC3216-1206</t>
  </si>
  <si>
    <t>CC5650-2220</t>
  </si>
  <si>
    <t>DO-SMB</t>
  </si>
  <si>
    <t>DB37M-RA</t>
  </si>
  <si>
    <t>DB37F-RA</t>
  </si>
  <si>
    <t>DB9M-RA</t>
  </si>
  <si>
    <t>DB9F-RA</t>
  </si>
  <si>
    <t>DB15F-ST</t>
  </si>
  <si>
    <t>RELAY_IMG</t>
  </si>
  <si>
    <t>TSW-102-XX-YY-S</t>
  </si>
  <si>
    <t>Molex_156_RA_3</t>
  </si>
  <si>
    <t>918516x324</t>
  </si>
  <si>
    <t>SO-G3/C2.25</t>
  </si>
  <si>
    <t>CR2012-0805</t>
  </si>
  <si>
    <t>DRD16RAE04</t>
  </si>
  <si>
    <t>TP1-BLK</t>
  </si>
  <si>
    <t>TP1-RED</t>
  </si>
  <si>
    <t>TP1-WHT</t>
  </si>
  <si>
    <t>SO-G6/E2.4</t>
  </si>
  <si>
    <t>DW020_N</t>
  </si>
  <si>
    <t>SOTFL50P160X60-6N</t>
  </si>
  <si>
    <t>TSSOP16</t>
  </si>
  <si>
    <t>TS3B_N</t>
  </si>
  <si>
    <t>SO-G5/E2.4</t>
  </si>
  <si>
    <t>D016_N</t>
  </si>
  <si>
    <t>PS2701A-1</t>
  </si>
  <si>
    <t>D014_N</t>
  </si>
  <si>
    <t>Assembly Type</t>
  </si>
  <si>
    <t>M</t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</si>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</sst>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</cellXfs>
  <cellStyles count="1">
    <cellStyle name="Normal" xfId="0" builtinId="0"/>
  </cellStyles>
  <dxfs count="18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M52" totalsRowShown="0" headerRowDxfId="17" dataDxfId="15" headerRowBorderDxfId="16" tableBorderDxfId="14">
  <autoFilter ref="B9:M52" xr:uid="{00000000-0009-0000-0100-000002000000}"/>
  <tableColumns count="12">
    <tableColumn id="1" xr3:uid="{00000000-0010-0000-0000-000001000000}" name="Quantity" dataDxfId="13"/>
    <tableColumn id="2" xr3:uid="{00000000-0010-0000-0000-000002000000}" name="Distributor" dataDxfId="12"/>
    <tableColumn id="3" xr3:uid="{00000000-0010-0000-0000-000003000000}" name="Part Number" dataDxfId="11"/>
    <tableColumn id="4" xr3:uid="{00000000-0010-0000-0000-000004000000}" name="Comment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62"/>
  <sheetViews>
    <sheetView showGridLines="0" tabSelected="1" topLeftCell="A7" zoomScaleNormal="100" workbookViewId="0">
      <selection activeCell="E15" sqref="E15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</row>
    <row r="2" spans="1:13" ht="37.5" customHeight="1" x14ac:dyDescent="0.25">
      <c r="A2" s="13"/>
      <c r="B2" s="25" t="s">
        <v>14</v>
      </c>
      <c r="C2" s="26"/>
      <c r="D2" s="18"/>
      <c r="E2" s="22" t="s">
        <v>13</v>
      </c>
      <c r="F2" s="18"/>
      <c r="G2" s="49" t="s">
        <v>20</v>
      </c>
      <c r="H2" s="22" t="s">
        <v>12</v>
      </c>
      <c r="I2" s="50" t="s">
        <v>21</v>
      </c>
      <c r="J2" s="23"/>
      <c r="K2" s="23"/>
      <c r="L2" s="23"/>
      <c r="M2" s="19"/>
    </row>
    <row r="3" spans="1:13" ht="23.25" customHeight="1" x14ac:dyDescent="0.35">
      <c r="A3" s="13"/>
      <c r="B3" s="12"/>
      <c r="C3" s="5"/>
      <c r="D3" s="17"/>
      <c r="E3" s="4"/>
      <c r="F3" s="4"/>
      <c r="G3" s="4"/>
      <c r="H3" s="4"/>
      <c r="M3" s="24"/>
    </row>
    <row r="4" spans="1:13" ht="17.25" customHeight="1" x14ac:dyDescent="0.35">
      <c r="A4" s="13"/>
      <c r="B4" s="12" t="s">
        <v>0</v>
      </c>
      <c r="C4" s="5"/>
      <c r="D4" s="51" t="s">
        <v>22</v>
      </c>
      <c r="E4" s="8"/>
      <c r="F4" s="6"/>
      <c r="G4" s="55" t="s">
        <v>15</v>
      </c>
      <c r="H4" s="56"/>
      <c r="I4" s="52" t="s">
        <v>23</v>
      </c>
      <c r="J4" s="37"/>
      <c r="K4" s="37"/>
      <c r="L4" s="37"/>
      <c r="M4" s="24"/>
    </row>
    <row r="5" spans="1:13" ht="17.25" customHeight="1" x14ac:dyDescent="0.35">
      <c r="A5" s="13"/>
      <c r="B5" s="12" t="s">
        <v>11</v>
      </c>
      <c r="C5" s="5"/>
      <c r="D5" s="53" t="s">
        <v>24</v>
      </c>
      <c r="E5" s="15"/>
      <c r="F5" s="6"/>
      <c r="G5" s="6"/>
      <c r="H5" s="6"/>
      <c r="M5" s="24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M6" s="24"/>
    </row>
    <row r="7" spans="1:13" ht="15.75" customHeight="1" x14ac:dyDescent="0.25">
      <c r="A7" s="13"/>
      <c r="B7" s="11" t="s">
        <v>2</v>
      </c>
      <c r="D7" s="54" t="s">
        <v>25</v>
      </c>
      <c r="E7" s="54" t="s">
        <v>26</v>
      </c>
      <c r="F7" s="11"/>
      <c r="G7" s="11"/>
      <c r="H7" s="11"/>
      <c r="M7" s="24"/>
    </row>
    <row r="8" spans="1:13" ht="15.75" customHeight="1" x14ac:dyDescent="0.25">
      <c r="A8" s="13"/>
      <c r="B8" s="6" t="s">
        <v>1</v>
      </c>
      <c r="D8" s="32">
        <f ca="1">TODAY()</f>
        <v>45891</v>
      </c>
      <c r="E8" s="57">
        <f ca="1">NOW()</f>
        <v>45891.54700752315</v>
      </c>
      <c r="F8" s="58"/>
      <c r="G8" s="11"/>
      <c r="H8" s="11"/>
      <c r="M8" s="24"/>
    </row>
    <row r="9" spans="1:13" s="2" customFormat="1" ht="24.75" customHeight="1" x14ac:dyDescent="0.25">
      <c r="A9" s="13"/>
      <c r="B9" s="38" t="s">
        <v>27</v>
      </c>
      <c r="C9" s="39" t="s">
        <v>28</v>
      </c>
      <c r="D9" s="39" t="s">
        <v>32</v>
      </c>
      <c r="E9" s="39" t="s">
        <v>75</v>
      </c>
      <c r="F9" s="39" t="s">
        <v>117</v>
      </c>
      <c r="G9" s="40" t="s">
        <v>151</v>
      </c>
      <c r="H9" s="39" t="s">
        <v>194</v>
      </c>
      <c r="I9" s="39" t="s">
        <v>224</v>
      </c>
      <c r="J9" s="40" t="s">
        <v>17</v>
      </c>
      <c r="K9" s="40" t="s">
        <v>18</v>
      </c>
      <c r="L9" s="40" t="s">
        <v>19</v>
      </c>
      <c r="M9" s="40" t="s">
        <v>10</v>
      </c>
    </row>
    <row r="10" spans="1:13" s="2" customFormat="1" ht="20.5" x14ac:dyDescent="0.25">
      <c r="A10" s="13"/>
      <c r="B10" s="45">
        <v>3</v>
      </c>
      <c r="C10" s="46" t="s">
        <v>29</v>
      </c>
      <c r="D10" s="46" t="s">
        <v>33</v>
      </c>
      <c r="E10" s="46" t="s">
        <v>76</v>
      </c>
      <c r="F10" s="46" t="s">
        <v>118</v>
      </c>
      <c r="G10" s="46" t="s">
        <v>152</v>
      </c>
      <c r="H10" s="46" t="s">
        <v>195</v>
      </c>
      <c r="I10" s="46" t="s">
        <v>225</v>
      </c>
      <c r="J10" s="48">
        <f>+IF(OR(I10="BGA",I10="FP",I10="TH"),1,IF($I$4*B10&lt;100,5,0))</f>
        <v>5</v>
      </c>
      <c r="K10" s="47">
        <f>+IF(AND(I10="",$I$4*B10&gt;100),0.05,0)</f>
        <v>0</v>
      </c>
      <c r="L10" s="48">
        <f>+ROUNDUP($I$4*B10*K10+J10,0)</f>
        <v>5</v>
      </c>
      <c r="M10" s="41">
        <f>+IF(OR(LEFT(G10&amp;"",1)="C",LEFT(G10&amp;"",1)="R"),ROUNDUP($I$4*B10+L10,-1),$I$4*B10+L10)</f>
        <v>11</v>
      </c>
    </row>
    <row r="11" spans="1:13" s="2" customFormat="1" ht="50.5" x14ac:dyDescent="0.25">
      <c r="A11" s="13"/>
      <c r="B11" s="45">
        <v>43</v>
      </c>
      <c r="C11" s="46" t="s">
        <v>29</v>
      </c>
      <c r="D11" s="46" t="s">
        <v>34</v>
      </c>
      <c r="E11" s="46" t="s">
        <v>77</v>
      </c>
      <c r="F11" s="46" t="s">
        <v>119</v>
      </c>
      <c r="G11" s="46" t="s">
        <v>153</v>
      </c>
      <c r="H11" s="46" t="s">
        <v>196</v>
      </c>
      <c r="I11" s="46" t="s">
        <v>24</v>
      </c>
      <c r="J11" s="48">
        <f>+IF(OR(I11="BGA",I11="FP",I11="TH"),1,IF($I$4*B11&lt;100,5,0))</f>
        <v>5</v>
      </c>
      <c r="K11" s="47">
        <f>+IF(AND(I11="",$I$4*B11&gt;100),0.05,0)</f>
        <v>0</v>
      </c>
      <c r="L11" s="48">
        <f>+ROUNDUP($I$4*B11*K11+J11,0)</f>
        <v>5</v>
      </c>
      <c r="M11" s="41">
        <f>+IF(OR(LEFT(G11&amp;"",1)="C",LEFT(G11&amp;"",1)="R"),ROUNDUP($I$4*B11+L11,-1),$I$4*B11+L11)</f>
        <v>100</v>
      </c>
    </row>
    <row r="12" spans="1:13" s="2" customFormat="1" ht="30.5" x14ac:dyDescent="0.25">
      <c r="A12" s="13"/>
      <c r="B12" s="45">
        <v>22</v>
      </c>
      <c r="C12" s="46" t="s">
        <v>29</v>
      </c>
      <c r="D12" s="46" t="s">
        <v>35</v>
      </c>
      <c r="E12" s="46" t="s">
        <v>77</v>
      </c>
      <c r="F12" s="46" t="s">
        <v>119</v>
      </c>
      <c r="G12" s="46" t="s">
        <v>154</v>
      </c>
      <c r="H12" s="46" t="s">
        <v>197</v>
      </c>
      <c r="I12" s="46" t="s">
        <v>24</v>
      </c>
      <c r="J12" s="48">
        <f t="shared" ref="J12" si="0">+IF(OR(I12="BGA",I12="FP",I12="TH"),1,IF($I$4*B12&lt;100,5,0))</f>
        <v>5</v>
      </c>
      <c r="K12" s="47">
        <f t="shared" ref="K12" si="1">+IF(AND(I12="",$I$4*B12&gt;100),0.05,0)</f>
        <v>0</v>
      </c>
      <c r="L12" s="48">
        <f t="shared" ref="L12" si="2">+ROUNDUP($I$4*B12*K12+J12,0)</f>
        <v>5</v>
      </c>
      <c r="M12" s="41">
        <f t="shared" ref="M12" si="3">+IF(OR(LEFT(G12&amp;"",1)="C",LEFT(G12&amp;"",1)="R"),ROUNDUP($I$4*B12+L12,-1),$I$4*B12+L12)</f>
        <v>50</v>
      </c>
    </row>
    <row r="13" spans="1:13" s="2" customFormat="1" ht="20.5" x14ac:dyDescent="0.25">
      <c r="A13" s="13"/>
      <c r="B13" s="45">
        <v>13</v>
      </c>
      <c r="C13" s="46" t="s">
        <v>29</v>
      </c>
      <c r="D13" s="46" t="s">
        <v>36</v>
      </c>
      <c r="E13" s="46" t="s">
        <v>78</v>
      </c>
      <c r="F13" s="46" t="s">
        <v>119</v>
      </c>
      <c r="G13" s="46" t="s">
        <v>155</v>
      </c>
      <c r="H13" s="46" t="s">
        <v>198</v>
      </c>
      <c r="I13" s="46" t="s">
        <v>24</v>
      </c>
      <c r="J13" s="48">
        <f>+IF(OR(I13="BGA",I13="FP",I13="TH"),1,IF($I$4*B13&lt;100,5,0))</f>
        <v>5</v>
      </c>
      <c r="K13" s="47">
        <f>+IF(AND(I13="",$I$4*B13&gt;100),0.05,0)</f>
        <v>0</v>
      </c>
      <c r="L13" s="48">
        <f>+ROUNDUP($I$4*B13*K13+J13,0)</f>
        <v>5</v>
      </c>
      <c r="M13" s="41">
        <f>+IF(OR(LEFT(G13&amp;"",1)="C",LEFT(G13&amp;"",1)="R"),ROUNDUP($I$4*B13+L13,-1),$I$4*B13+L13)</f>
        <v>40</v>
      </c>
    </row>
    <row r="14" spans="1:13" s="2" customFormat="1" ht="20.5" x14ac:dyDescent="0.25">
      <c r="A14" s="13"/>
      <c r="B14" s="45">
        <v>12</v>
      </c>
      <c r="C14" s="46" t="s">
        <v>29</v>
      </c>
      <c r="D14" s="46" t="s">
        <v>37</v>
      </c>
      <c r="E14" s="46" t="s">
        <v>79</v>
      </c>
      <c r="F14" s="46" t="s">
        <v>120</v>
      </c>
      <c r="G14" s="46" t="s">
        <v>156</v>
      </c>
      <c r="H14" s="46" t="s">
        <v>199</v>
      </c>
      <c r="I14" s="46" t="s">
        <v>24</v>
      </c>
      <c r="J14" s="48">
        <f t="shared" ref="J14" si="4">+IF(OR(I14="BGA",I14="FP",I14="TH"),1,IF($I$4*B14&lt;100,5,0))</f>
        <v>5</v>
      </c>
      <c r="K14" s="47">
        <f t="shared" ref="K14" si="5">+IF(AND(I14="",$I$4*B14&gt;100),0.05,0)</f>
        <v>0</v>
      </c>
      <c r="L14" s="48">
        <f t="shared" ref="L14" si="6">+ROUNDUP($I$4*B14*K14+J14,0)</f>
        <v>5</v>
      </c>
      <c r="M14" s="41">
        <f t="shared" ref="M14" si="7">+IF(OR(LEFT(G14&amp;"",1)="C",LEFT(G14&amp;"",1)="R"),ROUNDUP($I$4*B14+L14,-1),$I$4*B14+L14)</f>
        <v>29</v>
      </c>
    </row>
    <row r="15" spans="1:13" s="2" customFormat="1" ht="13" x14ac:dyDescent="0.25">
      <c r="A15" s="13"/>
      <c r="B15" s="45">
        <v>6</v>
      </c>
      <c r="C15" s="46" t="s">
        <v>30</v>
      </c>
      <c r="D15" s="46" t="s">
        <v>38</v>
      </c>
      <c r="E15" s="46" t="s">
        <v>80</v>
      </c>
      <c r="F15" s="46" t="s">
        <v>121</v>
      </c>
      <c r="G15" s="46" t="s">
        <v>157</v>
      </c>
      <c r="H15" s="46" t="s">
        <v>24</v>
      </c>
      <c r="I15" s="46" t="s">
        <v>225</v>
      </c>
      <c r="J15" s="48">
        <f>+IF(OR(I15="BGA",I15="FP",I15="TH"),1,IF($I$4*B15&lt;100,5,0))</f>
        <v>5</v>
      </c>
      <c r="K15" s="47">
        <f>+IF(AND(I15="",$I$4*B15&gt;100),0.05,0)</f>
        <v>0</v>
      </c>
      <c r="L15" s="48">
        <f>+ROUNDUP($I$4*B15*K15+J15,0)</f>
        <v>5</v>
      </c>
      <c r="M15" s="41">
        <f>+IF(OR(LEFT(G15&amp;"",1)="C",LEFT(G15&amp;"",1)="R"),ROUNDUP($I$4*B15+L15,-1),$I$4*B15+L15)</f>
        <v>17</v>
      </c>
    </row>
    <row r="16" spans="1:13" s="2" customFormat="1" ht="13" x14ac:dyDescent="0.25">
      <c r="A16" s="13"/>
      <c r="B16" s="45">
        <v>6</v>
      </c>
      <c r="C16" s="46" t="s">
        <v>30</v>
      </c>
      <c r="D16" s="46" t="s">
        <v>39</v>
      </c>
      <c r="E16" s="46" t="s">
        <v>81</v>
      </c>
      <c r="F16" s="46" t="s">
        <v>121</v>
      </c>
      <c r="G16" s="46" t="s">
        <v>158</v>
      </c>
      <c r="H16" s="46" t="s">
        <v>24</v>
      </c>
      <c r="I16" s="46" t="s">
        <v>225</v>
      </c>
      <c r="J16" s="48">
        <f t="shared" ref="J16" si="8">+IF(OR(I16="BGA",I16="FP",I16="TH"),1,IF($I$4*B16&lt;100,5,0))</f>
        <v>5</v>
      </c>
      <c r="K16" s="47">
        <f t="shared" ref="K16" si="9">+IF(AND(I16="",$I$4*B16&gt;100),0.05,0)</f>
        <v>0</v>
      </c>
      <c r="L16" s="48">
        <f t="shared" ref="L16" si="10">+ROUNDUP($I$4*B16*K16+J16,0)</f>
        <v>5</v>
      </c>
      <c r="M16" s="41">
        <f t="shared" ref="M16" si="11">+IF(OR(LEFT(G16&amp;"",1)="C",LEFT(G16&amp;"",1)="R"),ROUNDUP($I$4*B16+L16,-1),$I$4*B16+L16)</f>
        <v>17</v>
      </c>
    </row>
    <row r="17" spans="1:13" s="2" customFormat="1" ht="13" x14ac:dyDescent="0.25">
      <c r="A17" s="13"/>
      <c r="B17" s="45">
        <v>6</v>
      </c>
      <c r="C17" s="46" t="s">
        <v>30</v>
      </c>
      <c r="D17" s="46" t="s">
        <v>40</v>
      </c>
      <c r="E17" s="46" t="s">
        <v>82</v>
      </c>
      <c r="F17" s="46" t="s">
        <v>121</v>
      </c>
      <c r="G17" s="46" t="s">
        <v>159</v>
      </c>
      <c r="H17" s="46" t="s">
        <v>24</v>
      </c>
      <c r="I17" s="46" t="s">
        <v>225</v>
      </c>
      <c r="J17" s="48">
        <f>+IF(OR(I17="BGA",I17="FP",I17="TH"),1,IF($I$4*B17&lt;100,5,0))</f>
        <v>5</v>
      </c>
      <c r="K17" s="47">
        <f>+IF(AND(I17="",$I$4*B17&gt;100),0.05,0)</f>
        <v>0</v>
      </c>
      <c r="L17" s="48">
        <f>+ROUNDUP($I$4*B17*K17+J17,0)</f>
        <v>5</v>
      </c>
      <c r="M17" s="41">
        <f>+IF(OR(LEFT(G17&amp;"",1)="C",LEFT(G17&amp;"",1)="R"),ROUNDUP($I$4*B17+L17,-1),$I$4*B17+L17)</f>
        <v>17</v>
      </c>
    </row>
    <row r="18" spans="1:13" s="2" customFormat="1" ht="13" x14ac:dyDescent="0.25">
      <c r="A18" s="13"/>
      <c r="B18" s="45">
        <v>4</v>
      </c>
      <c r="C18" s="46" t="s">
        <v>29</v>
      </c>
      <c r="D18" s="46" t="s">
        <v>41</v>
      </c>
      <c r="E18" s="46" t="s">
        <v>83</v>
      </c>
      <c r="F18" s="46" t="s">
        <v>122</v>
      </c>
      <c r="G18" s="46" t="s">
        <v>160</v>
      </c>
      <c r="H18" s="46" t="s">
        <v>83</v>
      </c>
      <c r="I18" s="46" t="s">
        <v>226</v>
      </c>
      <c r="J18" s="48">
        <f t="shared" ref="J18" si="12">+IF(OR(I18="BGA",I18="FP",I18="TH"),1,IF($I$4*B18&lt;100,5,0))</f>
        <v>1</v>
      </c>
      <c r="K18" s="47">
        <f t="shared" ref="K18" si="13">+IF(AND(I18="",$I$4*B18&gt;100),0.05,0)</f>
        <v>0</v>
      </c>
      <c r="L18" s="48">
        <f t="shared" ref="L18" si="14">+ROUNDUP($I$4*B18*K18+J18,0)</f>
        <v>1</v>
      </c>
      <c r="M18" s="41">
        <f t="shared" ref="M18" si="15">+IF(OR(LEFT(G18&amp;"",1)="C",LEFT(G18&amp;"",1)="R"),ROUNDUP($I$4*B18+L18,-1),$I$4*B18+L18)</f>
        <v>9</v>
      </c>
    </row>
    <row r="19" spans="1:13" s="2" customFormat="1" ht="20.5" x14ac:dyDescent="0.25">
      <c r="A19" s="13"/>
      <c r="B19" s="45">
        <v>1</v>
      </c>
      <c r="C19" s="46" t="s">
        <v>29</v>
      </c>
      <c r="D19" s="46" t="s">
        <v>42</v>
      </c>
      <c r="E19" s="46" t="s">
        <v>84</v>
      </c>
      <c r="F19" s="46" t="s">
        <v>123</v>
      </c>
      <c r="G19" s="46" t="s">
        <v>161</v>
      </c>
      <c r="H19" s="46" t="s">
        <v>200</v>
      </c>
      <c r="I19" s="46" t="s">
        <v>226</v>
      </c>
      <c r="J19" s="48">
        <f>+IF(OR(I19="BGA",I19="FP",I19="TH"),1,IF($I$4*B19&lt;100,5,0))</f>
        <v>1</v>
      </c>
      <c r="K19" s="47">
        <f>+IF(AND(I19="",$I$4*B19&gt;100),0.05,0)</f>
        <v>0</v>
      </c>
      <c r="L19" s="48">
        <f>+ROUNDUP($I$4*B19*K19+J19,0)</f>
        <v>1</v>
      </c>
      <c r="M19" s="41">
        <f>+IF(OR(LEFT(G19&amp;"",1)="C",LEFT(G19&amp;"",1)="R"),ROUNDUP($I$4*B19+L19,-1),$I$4*B19+L19)</f>
        <v>3</v>
      </c>
    </row>
    <row r="20" spans="1:13" s="2" customFormat="1" ht="20.5" x14ac:dyDescent="0.25">
      <c r="A20" s="13"/>
      <c r="B20" s="45">
        <v>1</v>
      </c>
      <c r="C20" s="46" t="s">
        <v>29</v>
      </c>
      <c r="D20" s="46" t="s">
        <v>43</v>
      </c>
      <c r="E20" s="46" t="s">
        <v>85</v>
      </c>
      <c r="F20" s="46" t="s">
        <v>124</v>
      </c>
      <c r="G20" s="46" t="s">
        <v>162</v>
      </c>
      <c r="H20" s="46" t="s">
        <v>201</v>
      </c>
      <c r="I20" s="46" t="s">
        <v>226</v>
      </c>
      <c r="J20" s="48">
        <f t="shared" ref="J20" si="16">+IF(OR(I20="BGA",I20="FP",I20="TH"),1,IF($I$4*B20&lt;100,5,0))</f>
        <v>1</v>
      </c>
      <c r="K20" s="47">
        <f t="shared" ref="K20" si="17">+IF(AND(I20="",$I$4*B20&gt;100),0.05,0)</f>
        <v>0</v>
      </c>
      <c r="L20" s="48">
        <f t="shared" ref="L20" si="18">+ROUNDUP($I$4*B20*K20+J20,0)</f>
        <v>1</v>
      </c>
      <c r="M20" s="41">
        <f t="shared" ref="M20" si="19">+IF(OR(LEFT(G20&amp;"",1)="C",LEFT(G20&amp;"",1)="R"),ROUNDUP($I$4*B20+L20,-1),$I$4*B20+L20)</f>
        <v>3</v>
      </c>
    </row>
    <row r="21" spans="1:13" s="2" customFormat="1" ht="20.5" x14ac:dyDescent="0.25">
      <c r="A21" s="13"/>
      <c r="B21" s="45">
        <v>1</v>
      </c>
      <c r="C21" s="46" t="s">
        <v>29</v>
      </c>
      <c r="D21" s="46" t="s">
        <v>44</v>
      </c>
      <c r="E21" s="46" t="s">
        <v>86</v>
      </c>
      <c r="F21" s="46" t="s">
        <v>125</v>
      </c>
      <c r="G21" s="46" t="s">
        <v>163</v>
      </c>
      <c r="H21" s="46" t="s">
        <v>202</v>
      </c>
      <c r="I21" s="46" t="s">
        <v>226</v>
      </c>
      <c r="J21" s="48">
        <f>+IF(OR(I21="BGA",I21="FP",I21="TH"),1,IF($I$4*B21&lt;100,5,0))</f>
        <v>1</v>
      </c>
      <c r="K21" s="47">
        <f>+IF(AND(I21="",$I$4*B21&gt;100),0.05,0)</f>
        <v>0</v>
      </c>
      <c r="L21" s="48">
        <f>+ROUNDUP($I$4*B21*K21+J21,0)</f>
        <v>1</v>
      </c>
      <c r="M21" s="41">
        <f>+IF(OR(LEFT(G21&amp;"",1)="C",LEFT(G21&amp;"",1)="R"),ROUNDUP($I$4*B21+L21,-1),$I$4*B21+L21)</f>
        <v>3</v>
      </c>
    </row>
    <row r="22" spans="1:13" s="2" customFormat="1" ht="20.5" x14ac:dyDescent="0.25">
      <c r="A22" s="13"/>
      <c r="B22" s="45">
        <v>1</v>
      </c>
      <c r="C22" s="46" t="s">
        <v>29</v>
      </c>
      <c r="D22" s="46" t="s">
        <v>45</v>
      </c>
      <c r="E22" s="46" t="s">
        <v>87</v>
      </c>
      <c r="F22" s="46" t="s">
        <v>126</v>
      </c>
      <c r="G22" s="46" t="s">
        <v>164</v>
      </c>
      <c r="H22" s="46" t="s">
        <v>203</v>
      </c>
      <c r="I22" s="46" t="s">
        <v>226</v>
      </c>
      <c r="J22" s="48">
        <f t="shared" ref="J22" si="20">+IF(OR(I22="BGA",I22="FP",I22="TH"),1,IF($I$4*B22&lt;100,5,0))</f>
        <v>1</v>
      </c>
      <c r="K22" s="47">
        <f t="shared" ref="K22" si="21">+IF(AND(I22="",$I$4*B22&gt;100),0.05,0)</f>
        <v>0</v>
      </c>
      <c r="L22" s="48">
        <f t="shared" ref="L22" si="22">+ROUNDUP($I$4*B22*K22+J22,0)</f>
        <v>1</v>
      </c>
      <c r="M22" s="41">
        <f t="shared" ref="M22" si="23">+IF(OR(LEFT(G22&amp;"",1)="C",LEFT(G22&amp;"",1)="R"),ROUNDUP($I$4*B22+L22,-1),$I$4*B22+L22)</f>
        <v>3</v>
      </c>
    </row>
    <row r="23" spans="1:13" s="2" customFormat="1" ht="20.5" x14ac:dyDescent="0.25">
      <c r="A23" s="13"/>
      <c r="B23" s="45">
        <v>1</v>
      </c>
      <c r="C23" s="46" t="s">
        <v>29</v>
      </c>
      <c r="D23" s="46" t="s">
        <v>46</v>
      </c>
      <c r="E23" s="46" t="s">
        <v>88</v>
      </c>
      <c r="F23" s="46" t="s">
        <v>127</v>
      </c>
      <c r="G23" s="46" t="s">
        <v>165</v>
      </c>
      <c r="H23" s="46" t="s">
        <v>204</v>
      </c>
      <c r="I23" s="46" t="s">
        <v>226</v>
      </c>
      <c r="J23" s="48">
        <f>+IF(OR(I23="BGA",I23="FP",I23="TH"),1,IF($I$4*B23&lt;100,5,0))</f>
        <v>1</v>
      </c>
      <c r="K23" s="47">
        <f>+IF(AND(I23="",$I$4*B23&gt;100),0.05,0)</f>
        <v>0</v>
      </c>
      <c r="L23" s="48">
        <f>+ROUNDUP($I$4*B23*K23+J23,0)</f>
        <v>1</v>
      </c>
      <c r="M23" s="41">
        <f>+IF(OR(LEFT(G23&amp;"",1)="C",LEFT(G23&amp;"",1)="R"),ROUNDUP($I$4*B23+L23,-1),$I$4*B23+L23)</f>
        <v>3</v>
      </c>
    </row>
    <row r="24" spans="1:13" s="2" customFormat="1" ht="50.5" x14ac:dyDescent="0.25">
      <c r="A24" s="13"/>
      <c r="B24" s="45">
        <v>40</v>
      </c>
      <c r="C24" s="46" t="s">
        <v>29</v>
      </c>
      <c r="D24" s="46" t="s">
        <v>47</v>
      </c>
      <c r="E24" s="46" t="s">
        <v>89</v>
      </c>
      <c r="F24" s="46" t="s">
        <v>128</v>
      </c>
      <c r="G24" s="46" t="s">
        <v>166</v>
      </c>
      <c r="H24" s="46" t="s">
        <v>205</v>
      </c>
      <c r="I24" s="46" t="s">
        <v>24</v>
      </c>
      <c r="J24" s="48">
        <f t="shared" ref="J24" si="24">+IF(OR(I24="BGA",I24="FP",I24="TH"),1,IF($I$4*B24&lt;100,5,0))</f>
        <v>5</v>
      </c>
      <c r="K24" s="47">
        <f t="shared" ref="K24" si="25">+IF(AND(I24="",$I$4*B24&gt;100),0.05,0)</f>
        <v>0</v>
      </c>
      <c r="L24" s="48">
        <f t="shared" ref="L24" si="26">+ROUNDUP($I$4*B24*K24+J24,0)</f>
        <v>5</v>
      </c>
      <c r="M24" s="41">
        <f t="shared" ref="M24" si="27">+IF(OR(LEFT(G24&amp;"",1)="C",LEFT(G24&amp;"",1)="R"),ROUNDUP($I$4*B24+L24,-1),$I$4*B24+L24)</f>
        <v>85</v>
      </c>
    </row>
    <row r="25" spans="1:13" s="2" customFormat="1" ht="13" x14ac:dyDescent="0.25">
      <c r="A25" s="13"/>
      <c r="B25" s="45">
        <v>1</v>
      </c>
      <c r="C25" s="46" t="s">
        <v>29</v>
      </c>
      <c r="D25" s="46" t="s">
        <v>48</v>
      </c>
      <c r="E25" s="46" t="s">
        <v>90</v>
      </c>
      <c r="F25" s="46" t="s">
        <v>129</v>
      </c>
      <c r="G25" s="46" t="s">
        <v>167</v>
      </c>
      <c r="H25" s="46" t="s">
        <v>206</v>
      </c>
      <c r="I25" s="46" t="s">
        <v>226</v>
      </c>
      <c r="J25" s="48">
        <f>+IF(OR(I25="BGA",I25="FP",I25="TH"),1,IF($I$4*B25&lt;100,5,0))</f>
        <v>1</v>
      </c>
      <c r="K25" s="47">
        <f>+IF(AND(I25="",$I$4*B25&gt;100),0.05,0)</f>
        <v>0</v>
      </c>
      <c r="L25" s="48">
        <f>+ROUNDUP($I$4*B25*K25+J25,0)</f>
        <v>1</v>
      </c>
      <c r="M25" s="41">
        <f>+IF(OR(LEFT(G25&amp;"",1)="C",LEFT(G25&amp;"",1)="R"),ROUNDUP($I$4*B25+L25,-1),$I$4*B25+L25)</f>
        <v>3</v>
      </c>
    </row>
    <row r="26" spans="1:13" s="2" customFormat="1" ht="13" x14ac:dyDescent="0.25">
      <c r="A26" s="13"/>
      <c r="B26" s="45">
        <v>1</v>
      </c>
      <c r="C26" s="46" t="s">
        <v>31</v>
      </c>
      <c r="D26" s="46" t="s">
        <v>49</v>
      </c>
      <c r="E26" s="46" t="s">
        <v>91</v>
      </c>
      <c r="F26" s="46" t="s">
        <v>130</v>
      </c>
      <c r="G26" s="46" t="s">
        <v>168</v>
      </c>
      <c r="H26" s="46" t="s">
        <v>207</v>
      </c>
      <c r="I26" s="46" t="s">
        <v>226</v>
      </c>
      <c r="J26" s="48">
        <f t="shared" ref="J26" si="28">+IF(OR(I26="BGA",I26="FP",I26="TH"),1,IF($I$4*B26&lt;100,5,0))</f>
        <v>1</v>
      </c>
      <c r="K26" s="47">
        <f t="shared" ref="K26" si="29">+IF(AND(I26="",$I$4*B26&gt;100),0.05,0)</f>
        <v>0</v>
      </c>
      <c r="L26" s="48">
        <f t="shared" ref="L26" si="30">+ROUNDUP($I$4*B26*K26+J26,0)</f>
        <v>1</v>
      </c>
      <c r="M26" s="41">
        <f t="shared" ref="M26" si="31">+IF(OR(LEFT(G26&amp;"",1)="C",LEFT(G26&amp;"",1)="R"),ROUNDUP($I$4*B26+L26,-1),$I$4*B26+L26)</f>
        <v>3</v>
      </c>
    </row>
    <row r="27" spans="1:13" s="2" customFormat="1" ht="20.5" x14ac:dyDescent="0.25">
      <c r="A27" s="13"/>
      <c r="B27" s="45">
        <v>1</v>
      </c>
      <c r="C27" s="46" t="s">
        <v>29</v>
      </c>
      <c r="D27" s="46" t="s">
        <v>50</v>
      </c>
      <c r="E27" s="46" t="s">
        <v>92</v>
      </c>
      <c r="F27" s="46" t="s">
        <v>131</v>
      </c>
      <c r="G27" s="46" t="s">
        <v>169</v>
      </c>
      <c r="H27" s="46" t="s">
        <v>92</v>
      </c>
      <c r="I27" s="46" t="s">
        <v>226</v>
      </c>
      <c r="J27" s="48">
        <f>+IF(OR(I27="BGA",I27="FP",I27="TH"),1,IF($I$4*B27&lt;100,5,0))</f>
        <v>1</v>
      </c>
      <c r="K27" s="47">
        <f>+IF(AND(I27="",$I$4*B27&gt;100),0.05,0)</f>
        <v>0</v>
      </c>
      <c r="L27" s="48">
        <f>+ROUNDUP($I$4*B27*K27+J27,0)</f>
        <v>1</v>
      </c>
      <c r="M27" s="41">
        <f>+IF(OR(LEFT(G27&amp;"",1)="C",LEFT(G27&amp;"",1)="R"),ROUNDUP($I$4*B27+L27,-1),$I$4*B27+L27)</f>
        <v>3</v>
      </c>
    </row>
    <row r="28" spans="1:13" s="2" customFormat="1" ht="30.5" x14ac:dyDescent="0.25">
      <c r="A28" s="13"/>
      <c r="B28" s="45">
        <v>1</v>
      </c>
      <c r="C28" s="46" t="s">
        <v>29</v>
      </c>
      <c r="D28" s="46" t="s">
        <v>51</v>
      </c>
      <c r="E28" s="46" t="s">
        <v>93</v>
      </c>
      <c r="F28" s="46" t="s">
        <v>132</v>
      </c>
      <c r="G28" s="46" t="s">
        <v>170</v>
      </c>
      <c r="H28" s="46" t="s">
        <v>208</v>
      </c>
      <c r="I28" s="46" t="s">
        <v>226</v>
      </c>
      <c r="J28" s="48">
        <f t="shared" ref="J28" si="32">+IF(OR(I28="BGA",I28="FP",I28="TH"),1,IF($I$4*B28&lt;100,5,0))</f>
        <v>1</v>
      </c>
      <c r="K28" s="47">
        <f t="shared" ref="K28" si="33">+IF(AND(I28="",$I$4*B28&gt;100),0.05,0)</f>
        <v>0</v>
      </c>
      <c r="L28" s="48">
        <f t="shared" ref="L28" si="34">+ROUNDUP($I$4*B28*K28+J28,0)</f>
        <v>1</v>
      </c>
      <c r="M28" s="41">
        <f t="shared" ref="M28" si="35">+IF(OR(LEFT(G28&amp;"",1)="C",LEFT(G28&amp;"",1)="R"),ROUNDUP($I$4*B28+L28,-1),$I$4*B28+L28)</f>
        <v>3</v>
      </c>
    </row>
    <row r="29" spans="1:13" s="2" customFormat="1" ht="13" x14ac:dyDescent="0.25">
      <c r="A29" s="13"/>
      <c r="B29" s="45">
        <v>1</v>
      </c>
      <c r="C29" s="46" t="s">
        <v>29</v>
      </c>
      <c r="D29" s="46" t="s">
        <v>52</v>
      </c>
      <c r="E29" s="46" t="s">
        <v>94</v>
      </c>
      <c r="F29" s="46" t="s">
        <v>94</v>
      </c>
      <c r="G29" s="46" t="s">
        <v>171</v>
      </c>
      <c r="H29" s="46" t="s">
        <v>24</v>
      </c>
      <c r="I29" s="46" t="s">
        <v>225</v>
      </c>
      <c r="J29" s="48">
        <f>+IF(OR(I29="BGA",I29="FP",I29="TH"),1,IF($I$4*B29&lt;100,5,0))</f>
        <v>5</v>
      </c>
      <c r="K29" s="47">
        <f>+IF(AND(I29="",$I$4*B29&gt;100),0.05,0)</f>
        <v>0</v>
      </c>
      <c r="L29" s="48">
        <f>+ROUNDUP($I$4*B29*K29+J29,0)</f>
        <v>5</v>
      </c>
      <c r="M29" s="41">
        <f>+IF(OR(LEFT(G29&amp;"",1)="C",LEFT(G29&amp;"",1)="R"),ROUNDUP($I$4*B29+L29,-1),$I$4*B29+L29)</f>
        <v>7</v>
      </c>
    </row>
    <row r="30" spans="1:13" s="2" customFormat="1" ht="20.5" x14ac:dyDescent="0.25">
      <c r="A30" s="13"/>
      <c r="B30" s="45">
        <v>1</v>
      </c>
      <c r="C30" s="46" t="s">
        <v>29</v>
      </c>
      <c r="D30" s="46" t="s">
        <v>53</v>
      </c>
      <c r="E30" s="46" t="s">
        <v>95</v>
      </c>
      <c r="F30" s="46" t="s">
        <v>133</v>
      </c>
      <c r="G30" s="46" t="s">
        <v>172</v>
      </c>
      <c r="H30" s="46" t="s">
        <v>24</v>
      </c>
      <c r="I30" s="46" t="s">
        <v>225</v>
      </c>
      <c r="J30" s="48">
        <f t="shared" ref="J30" si="36">+IF(OR(I30="BGA",I30="FP",I30="TH"),1,IF($I$4*B30&lt;100,5,0))</f>
        <v>5</v>
      </c>
      <c r="K30" s="47">
        <f t="shared" ref="K30" si="37">+IF(AND(I30="",$I$4*B30&gt;100),0.05,0)</f>
        <v>0</v>
      </c>
      <c r="L30" s="48">
        <f t="shared" ref="L30" si="38">+ROUNDUP($I$4*B30*K30+J30,0)</f>
        <v>5</v>
      </c>
      <c r="M30" s="41">
        <f t="shared" ref="M30" si="39">+IF(OR(LEFT(G30&amp;"",1)="C",LEFT(G30&amp;"",1)="R"),ROUNDUP($I$4*B30+L30,-1),$I$4*B30+L30)</f>
        <v>7</v>
      </c>
    </row>
    <row r="31" spans="1:13" s="2" customFormat="1" ht="13" x14ac:dyDescent="0.25">
      <c r="A31" s="13"/>
      <c r="B31" s="45">
        <v>8</v>
      </c>
      <c r="C31" s="46" t="s">
        <v>29</v>
      </c>
      <c r="D31" s="46" t="s">
        <v>54</v>
      </c>
      <c r="E31" s="46" t="s">
        <v>96</v>
      </c>
      <c r="F31" s="46" t="s">
        <v>134</v>
      </c>
      <c r="G31" s="46" t="s">
        <v>173</v>
      </c>
      <c r="H31" s="46" t="s">
        <v>209</v>
      </c>
      <c r="I31" s="46" t="s">
        <v>24</v>
      </c>
      <c r="J31" s="48">
        <f>+IF(OR(I31="BGA",I31="FP",I31="TH"),1,IF($I$4*B31&lt;100,5,0))</f>
        <v>5</v>
      </c>
      <c r="K31" s="47">
        <f>+IF(AND(I31="",$I$4*B31&gt;100),0.05,0)</f>
        <v>0</v>
      </c>
      <c r="L31" s="48">
        <f>+ROUNDUP($I$4*B31*K31+J31,0)</f>
        <v>5</v>
      </c>
      <c r="M31" s="41">
        <f>+IF(OR(LEFT(G31&amp;"",1)="C",LEFT(G31&amp;"",1)="R"),ROUNDUP($I$4*B31+L31,-1),$I$4*B31+L31)</f>
        <v>21</v>
      </c>
    </row>
    <row r="32" spans="1:13" s="2" customFormat="1" ht="40.5" x14ac:dyDescent="0.25">
      <c r="A32" s="13"/>
      <c r="B32" s="45">
        <v>29</v>
      </c>
      <c r="C32" s="46" t="s">
        <v>29</v>
      </c>
      <c r="D32" s="46" t="s">
        <v>55</v>
      </c>
      <c r="E32" s="46" t="s">
        <v>97</v>
      </c>
      <c r="F32" s="46" t="s">
        <v>135</v>
      </c>
      <c r="G32" s="46" t="s">
        <v>174</v>
      </c>
      <c r="H32" s="46" t="s">
        <v>210</v>
      </c>
      <c r="I32" s="46" t="s">
        <v>24</v>
      </c>
      <c r="J32" s="48">
        <f t="shared" ref="J32" si="40">+IF(OR(I32="BGA",I32="FP",I32="TH"),1,IF($I$4*B32&lt;100,5,0))</f>
        <v>5</v>
      </c>
      <c r="K32" s="47">
        <f t="shared" ref="K32" si="41">+IF(AND(I32="",$I$4*B32&gt;100),0.05,0)</f>
        <v>0</v>
      </c>
      <c r="L32" s="48">
        <f t="shared" ref="L32" si="42">+ROUNDUP($I$4*B32*K32+J32,0)</f>
        <v>5</v>
      </c>
      <c r="M32" s="41">
        <f t="shared" ref="M32" si="43">+IF(OR(LEFT(G32&amp;"",1)="C",LEFT(G32&amp;"",1)="R"),ROUNDUP($I$4*B32+L32,-1),$I$4*B32+L32)</f>
        <v>70</v>
      </c>
    </row>
    <row r="33" spans="1:13" s="2" customFormat="1" ht="30.5" x14ac:dyDescent="0.25">
      <c r="A33" s="13"/>
      <c r="B33" s="45">
        <v>22</v>
      </c>
      <c r="C33" s="46" t="s">
        <v>29</v>
      </c>
      <c r="D33" s="46" t="s">
        <v>56</v>
      </c>
      <c r="E33" s="46" t="s">
        <v>98</v>
      </c>
      <c r="F33" s="46" t="s">
        <v>135</v>
      </c>
      <c r="G33" s="46" t="s">
        <v>175</v>
      </c>
      <c r="H33" s="46" t="s">
        <v>210</v>
      </c>
      <c r="I33" s="46" t="s">
        <v>24</v>
      </c>
      <c r="J33" s="48">
        <f t="shared" ref="J33" si="44">+IF(OR(I33="BGA",I33="FP",I33="TH"),1,IF($I$4*B33&lt;100,5,0))</f>
        <v>5</v>
      </c>
      <c r="K33" s="47">
        <f t="shared" ref="K33" si="45">+IF(AND(I33="",$I$4*B33&gt;100),0.05,0)</f>
        <v>0</v>
      </c>
      <c r="L33" s="48">
        <f t="shared" ref="L33" si="46">+ROUNDUP($I$4*B33*K33+J33,0)</f>
        <v>5</v>
      </c>
      <c r="M33" s="41">
        <f t="shared" ref="M33" si="47">+IF(OR(LEFT(G33&amp;"",1)="C",LEFT(G33&amp;"",1)="R"),ROUNDUP($I$4*B33+L33,-1),$I$4*B33+L33)</f>
        <v>50</v>
      </c>
    </row>
    <row r="34" spans="1:13" s="2" customFormat="1" ht="13" x14ac:dyDescent="0.25">
      <c r="A34" s="13"/>
      <c r="B34" s="45">
        <v>2</v>
      </c>
      <c r="C34" s="46" t="s">
        <v>29</v>
      </c>
      <c r="D34" s="46" t="s">
        <v>57</v>
      </c>
      <c r="E34" s="46" t="s">
        <v>99</v>
      </c>
      <c r="F34" s="46" t="s">
        <v>135</v>
      </c>
      <c r="G34" s="46" t="s">
        <v>176</v>
      </c>
      <c r="H34" s="46" t="s">
        <v>210</v>
      </c>
      <c r="I34" s="46" t="s">
        <v>24</v>
      </c>
      <c r="J34" s="48">
        <f>+IF(OR(I34="BGA",I34="FP",I34="TH"),1,IF($I$4*B34&lt;100,5,0))</f>
        <v>5</v>
      </c>
      <c r="K34" s="47">
        <f>+IF(AND(I34="",$I$4*B34&gt;100),0.05,0)</f>
        <v>0</v>
      </c>
      <c r="L34" s="48">
        <f>+ROUNDUP($I$4*B34*K34+J34,0)</f>
        <v>5</v>
      </c>
      <c r="M34" s="41">
        <f>+IF(OR(LEFT(G34&amp;"",1)="C",LEFT(G34&amp;"",1)="R"),ROUNDUP($I$4*B34+L34,-1),$I$4*B34+L34)</f>
        <v>10</v>
      </c>
    </row>
    <row r="35" spans="1:13" s="2" customFormat="1" ht="13" x14ac:dyDescent="0.25">
      <c r="A35" s="13"/>
      <c r="B35" s="45">
        <v>1</v>
      </c>
      <c r="C35" s="46" t="s">
        <v>29</v>
      </c>
      <c r="D35" s="46" t="s">
        <v>58</v>
      </c>
      <c r="E35" s="46" t="s">
        <v>100</v>
      </c>
      <c r="F35" s="46" t="s">
        <v>135</v>
      </c>
      <c r="G35" s="46" t="s">
        <v>177</v>
      </c>
      <c r="H35" s="46" t="s">
        <v>210</v>
      </c>
      <c r="I35" s="46"/>
      <c r="J35" s="48">
        <f t="shared" ref="J35" si="48">+IF(OR(I35="BGA",I35="FP",I35="TH"),1,IF($I$4*B35&lt;100,5,0))</f>
        <v>5</v>
      </c>
      <c r="K35" s="47">
        <f t="shared" ref="K35" si="49">+IF(AND(I35="",$I$4*B35&gt;100),0.05,0)</f>
        <v>0</v>
      </c>
      <c r="L35" s="48">
        <f t="shared" ref="L35" si="50">+ROUNDUP($I$4*B35*K35+J35,0)</f>
        <v>5</v>
      </c>
      <c r="M35" s="41">
        <f t="shared" ref="M35" si="51">+IF(OR(LEFT(G35&amp;"",1)="C",LEFT(G35&amp;"",1)="R"),ROUNDUP($I$4*B35+L35,-1),$I$4*B35+L35)</f>
        <v>10</v>
      </c>
    </row>
    <row r="36" spans="1:13" s="2" customFormat="1" ht="13" x14ac:dyDescent="0.25">
      <c r="A36" s="13"/>
      <c r="B36" s="45">
        <v>1</v>
      </c>
      <c r="C36" s="46" t="s">
        <v>29</v>
      </c>
      <c r="D36" s="46" t="s">
        <v>59</v>
      </c>
      <c r="E36" s="46" t="s">
        <v>101</v>
      </c>
      <c r="F36" s="46" t="s">
        <v>136</v>
      </c>
      <c r="G36" s="46" t="s">
        <v>178</v>
      </c>
      <c r="H36" s="46" t="s">
        <v>211</v>
      </c>
      <c r="I36" s="46" t="s">
        <v>226</v>
      </c>
      <c r="J36" s="48">
        <f>+IF(OR(I36="BGA",I36="FP",I36="TH"),1,IF($I$4*B36&lt;100,5,0))</f>
        <v>1</v>
      </c>
      <c r="K36" s="47">
        <f>+IF(AND(I36="",$I$4*B36&gt;100),0.05,0)</f>
        <v>0</v>
      </c>
      <c r="L36" s="48">
        <f>+ROUNDUP($I$4*B36*K36+J36,0)</f>
        <v>1</v>
      </c>
      <c r="M36" s="41">
        <f>+IF(OR(LEFT(G36&amp;"",1)="C",LEFT(G36&amp;"",1)="R"),ROUNDUP($I$4*B36+L36,-1),$I$4*B36+L36)</f>
        <v>3</v>
      </c>
    </row>
    <row r="37" spans="1:13" s="2" customFormat="1" ht="13" x14ac:dyDescent="0.25">
      <c r="A37" s="13"/>
      <c r="B37" s="45">
        <v>8</v>
      </c>
      <c r="C37" s="46" t="s">
        <v>29</v>
      </c>
      <c r="D37" s="46" t="s">
        <v>60</v>
      </c>
      <c r="E37" s="46" t="s">
        <v>102</v>
      </c>
      <c r="F37" s="46" t="s">
        <v>137</v>
      </c>
      <c r="G37" s="46" t="s">
        <v>179</v>
      </c>
      <c r="H37" s="46" t="s">
        <v>212</v>
      </c>
      <c r="I37" s="46" t="s">
        <v>226</v>
      </c>
      <c r="J37" s="48">
        <f t="shared" ref="J37" si="52">+IF(OR(I37="BGA",I37="FP",I37="TH"),1,IF($I$4*B37&lt;100,5,0))</f>
        <v>1</v>
      </c>
      <c r="K37" s="47">
        <f t="shared" ref="K37" si="53">+IF(AND(I37="",$I$4*B37&gt;100),0.05,0)</f>
        <v>0</v>
      </c>
      <c r="L37" s="48">
        <f t="shared" ref="L37" si="54">+ROUNDUP($I$4*B37*K37+J37,0)</f>
        <v>1</v>
      </c>
      <c r="M37" s="41">
        <f t="shared" ref="M37" si="55">+IF(OR(LEFT(G37&amp;"",1)="C",LEFT(G37&amp;"",1)="R"),ROUNDUP($I$4*B37+L37,-1),$I$4*B37+L37)</f>
        <v>17</v>
      </c>
    </row>
    <row r="38" spans="1:13" s="2" customFormat="1" ht="13" x14ac:dyDescent="0.25">
      <c r="A38" s="13"/>
      <c r="B38" s="45">
        <v>7</v>
      </c>
      <c r="C38" s="46" t="s">
        <v>29</v>
      </c>
      <c r="D38" s="46" t="s">
        <v>61</v>
      </c>
      <c r="E38" s="46" t="s">
        <v>103</v>
      </c>
      <c r="F38" s="46" t="s">
        <v>138</v>
      </c>
      <c r="G38" s="46" t="s">
        <v>180</v>
      </c>
      <c r="H38" s="46" t="s">
        <v>213</v>
      </c>
      <c r="I38" s="46" t="s">
        <v>226</v>
      </c>
      <c r="J38" s="48">
        <f>+IF(OR(I38="BGA",I38="FP",I38="TH"),1,IF($I$4*B38&lt;100,5,0))</f>
        <v>1</v>
      </c>
      <c r="K38" s="47">
        <f>+IF(AND(I38="",$I$4*B38&gt;100),0.05,0)</f>
        <v>0</v>
      </c>
      <c r="L38" s="48">
        <f>+ROUNDUP($I$4*B38*K38+J38,0)</f>
        <v>1</v>
      </c>
      <c r="M38" s="41">
        <f>+IF(OR(LEFT(G38&amp;"",1)="C",LEFT(G38&amp;"",1)="R"),ROUNDUP($I$4*B38+L38,-1),$I$4*B38+L38)</f>
        <v>15</v>
      </c>
    </row>
    <row r="39" spans="1:13" s="2" customFormat="1" ht="13" x14ac:dyDescent="0.25">
      <c r="A39" s="13"/>
      <c r="B39" s="45">
        <v>1</v>
      </c>
      <c r="C39" s="46" t="s">
        <v>29</v>
      </c>
      <c r="D39" s="46" t="s">
        <v>62</v>
      </c>
      <c r="E39" s="46" t="s">
        <v>104</v>
      </c>
      <c r="F39" s="46" t="s">
        <v>139</v>
      </c>
      <c r="G39" s="46" t="s">
        <v>181</v>
      </c>
      <c r="H39" s="46" t="s">
        <v>214</v>
      </c>
      <c r="I39" s="46" t="s">
        <v>226</v>
      </c>
      <c r="J39" s="48">
        <f t="shared" ref="J39" si="56">+IF(OR(I39="BGA",I39="FP",I39="TH"),1,IF($I$4*B39&lt;100,5,0))</f>
        <v>1</v>
      </c>
      <c r="K39" s="47">
        <f t="shared" ref="K39" si="57">+IF(AND(I39="",$I$4*B39&gt;100),0.05,0)</f>
        <v>0</v>
      </c>
      <c r="L39" s="48">
        <f t="shared" ref="L39" si="58">+ROUNDUP($I$4*B39*K39+J39,0)</f>
        <v>1</v>
      </c>
      <c r="M39" s="41">
        <f t="shared" ref="M39" si="59">+IF(OR(LEFT(G39&amp;"",1)="C",LEFT(G39&amp;"",1)="R"),ROUNDUP($I$4*B39+L39,-1),$I$4*B39+L39)</f>
        <v>3</v>
      </c>
    </row>
    <row r="40" spans="1:13" s="2" customFormat="1" ht="13" x14ac:dyDescent="0.25">
      <c r="A40" s="13"/>
      <c r="B40" s="45">
        <v>2</v>
      </c>
      <c r="C40" s="46" t="s">
        <v>29</v>
      </c>
      <c r="D40" s="46" t="s">
        <v>63</v>
      </c>
      <c r="E40" s="46" t="s">
        <v>105</v>
      </c>
      <c r="F40" s="46" t="s">
        <v>140</v>
      </c>
      <c r="G40" s="46" t="s">
        <v>182</v>
      </c>
      <c r="H40" s="46" t="s">
        <v>215</v>
      </c>
      <c r="I40" s="46" t="s">
        <v>24</v>
      </c>
      <c r="J40" s="48">
        <f>+IF(OR(I40="BGA",I40="FP",I40="TH"),1,IF($I$4*B40&lt;100,5,0))</f>
        <v>5</v>
      </c>
      <c r="K40" s="47">
        <f>+IF(AND(I40="",$I$4*B40&gt;100),0.05,0)</f>
        <v>0</v>
      </c>
      <c r="L40" s="48">
        <f>+ROUNDUP($I$4*B40*K40+J40,0)</f>
        <v>5</v>
      </c>
      <c r="M40" s="41">
        <f>+IF(OR(LEFT(G40&amp;"",1)="C",LEFT(G40&amp;"",1)="R"),ROUNDUP($I$4*B40+L40,-1),$I$4*B40+L40)</f>
        <v>9</v>
      </c>
    </row>
    <row r="41" spans="1:13" s="2" customFormat="1" ht="20.5" x14ac:dyDescent="0.25">
      <c r="A41" s="13"/>
      <c r="B41" s="45">
        <v>2</v>
      </c>
      <c r="C41" s="46" t="s">
        <v>29</v>
      </c>
      <c r="D41" s="46" t="s">
        <v>64</v>
      </c>
      <c r="E41" s="46" t="s">
        <v>106</v>
      </c>
      <c r="F41" s="46" t="s">
        <v>141</v>
      </c>
      <c r="G41" s="46" t="s">
        <v>183</v>
      </c>
      <c r="H41" s="46" t="s">
        <v>216</v>
      </c>
      <c r="I41" s="46" t="s">
        <v>24</v>
      </c>
      <c r="J41" s="48">
        <f t="shared" ref="J41" si="60">+IF(OR(I41="BGA",I41="FP",I41="TH"),1,IF($I$4*B41&lt;100,5,0))</f>
        <v>5</v>
      </c>
      <c r="K41" s="47">
        <f t="shared" ref="K41" si="61">+IF(AND(I41="",$I$4*B41&gt;100),0.05,0)</f>
        <v>0</v>
      </c>
      <c r="L41" s="48">
        <f t="shared" ref="L41" si="62">+ROUNDUP($I$4*B41*K41+J41,0)</f>
        <v>5</v>
      </c>
      <c r="M41" s="41">
        <f t="shared" ref="M41" si="63">+IF(OR(LEFT(G41&amp;"",1)="C",LEFT(G41&amp;"",1)="R"),ROUNDUP($I$4*B41+L41,-1),$I$4*B41+L41)</f>
        <v>9</v>
      </c>
    </row>
    <row r="42" spans="1:13" s="2" customFormat="1" ht="30.5" x14ac:dyDescent="0.25">
      <c r="A42" s="13"/>
      <c r="B42" s="45">
        <v>20</v>
      </c>
      <c r="C42" s="46" t="s">
        <v>29</v>
      </c>
      <c r="D42" s="46" t="s">
        <v>65</v>
      </c>
      <c r="E42" s="46" t="s">
        <v>107</v>
      </c>
      <c r="F42" s="46" t="s">
        <v>142</v>
      </c>
      <c r="G42" s="46" t="s">
        <v>184</v>
      </c>
      <c r="H42" s="46" t="s">
        <v>217</v>
      </c>
      <c r="I42" s="46" t="s">
        <v>24</v>
      </c>
      <c r="J42" s="48">
        <f>+IF(OR(I42="BGA",I42="FP",I42="TH"),1,IF($I$4*B42&lt;100,5,0))</f>
        <v>5</v>
      </c>
      <c r="K42" s="47">
        <f>+IF(AND(I42="",$I$4*B42&gt;100),0.05,0)</f>
        <v>0</v>
      </c>
      <c r="L42" s="48">
        <f>+ROUNDUP($I$4*B42*K42+J42,0)</f>
        <v>5</v>
      </c>
      <c r="M42" s="41">
        <f>+IF(OR(LEFT(G42&amp;"",1)="C",LEFT(G42&amp;"",1)="R"),ROUNDUP($I$4*B42+L42,-1),$I$4*B42+L42)</f>
        <v>45</v>
      </c>
    </row>
    <row r="43" spans="1:13" s="2" customFormat="1" ht="20.5" x14ac:dyDescent="0.25">
      <c r="A43" s="13"/>
      <c r="B43" s="45">
        <v>11</v>
      </c>
      <c r="C43" s="46" t="s">
        <v>29</v>
      </c>
      <c r="D43" s="46" t="s">
        <v>66</v>
      </c>
      <c r="E43" s="46" t="s">
        <v>108</v>
      </c>
      <c r="F43" s="46" t="s">
        <v>143</v>
      </c>
      <c r="G43" s="46" t="s">
        <v>185</v>
      </c>
      <c r="H43" s="46" t="s">
        <v>218</v>
      </c>
      <c r="I43" s="46" t="s">
        <v>24</v>
      </c>
      <c r="J43" s="48">
        <f t="shared" ref="J43" si="64">+IF(OR(I43="BGA",I43="FP",I43="TH"),1,IF($I$4*B43&lt;100,5,0))</f>
        <v>5</v>
      </c>
      <c r="K43" s="47">
        <f t="shared" ref="K43" si="65">+IF(AND(I43="",$I$4*B43&gt;100),0.05,0)</f>
        <v>0</v>
      </c>
      <c r="L43" s="48">
        <f t="shared" ref="L43" si="66">+ROUNDUP($I$4*B43*K43+J43,0)</f>
        <v>5</v>
      </c>
      <c r="M43" s="41">
        <f t="shared" ref="M43" si="67">+IF(OR(LEFT(G43&amp;"",1)="C",LEFT(G43&amp;"",1)="R"),ROUNDUP($I$4*B43+L43,-1),$I$4*B43+L43)</f>
        <v>27</v>
      </c>
    </row>
    <row r="44" spans="1:13" s="2" customFormat="1" ht="13" x14ac:dyDescent="0.25">
      <c r="A44" s="13"/>
      <c r="B44" s="45">
        <v>1</v>
      </c>
      <c r="C44" s="46" t="s">
        <v>29</v>
      </c>
      <c r="D44" s="46" t="s">
        <v>67</v>
      </c>
      <c r="E44" s="46" t="s">
        <v>109</v>
      </c>
      <c r="F44" s="46" t="s">
        <v>144</v>
      </c>
      <c r="G44" s="46" t="s">
        <v>186</v>
      </c>
      <c r="H44" s="46" t="s">
        <v>219</v>
      </c>
      <c r="I44" s="46"/>
      <c r="J44" s="48">
        <f>+IF(OR(I44="BGA",I44="FP",I44="TH"),1,IF($I$4*B44&lt;100,5,0))</f>
        <v>5</v>
      </c>
      <c r="K44" s="47">
        <f>+IF(AND(I44="",$I$4*B44&gt;100),0.05,0)</f>
        <v>0</v>
      </c>
      <c r="L44" s="48">
        <f>+ROUNDUP($I$4*B44*K44+J44,0)</f>
        <v>5</v>
      </c>
      <c r="M44" s="41">
        <f>+IF(OR(LEFT(G44&amp;"",1)="C",LEFT(G44&amp;"",1)="R"),ROUNDUP($I$4*B44+L44,-1),$I$4*B44+L44)</f>
        <v>7</v>
      </c>
    </row>
    <row r="45" spans="1:13" s="2" customFormat="1" ht="13" x14ac:dyDescent="0.25">
      <c r="A45" s="13"/>
      <c r="B45" s="45">
        <v>1</v>
      </c>
      <c r="C45" s="46" t="s">
        <v>29</v>
      </c>
      <c r="D45" s="46" t="s">
        <v>68</v>
      </c>
      <c r="E45" s="46" t="s">
        <v>110</v>
      </c>
      <c r="F45" s="46" t="s">
        <v>145</v>
      </c>
      <c r="G45" s="46" t="s">
        <v>187</v>
      </c>
      <c r="H45" s="46" t="s">
        <v>220</v>
      </c>
      <c r="I45" s="46"/>
      <c r="J45" s="48">
        <f t="shared" ref="J45" si="68">+IF(OR(I45="BGA",I45="FP",I45="TH"),1,IF($I$4*B45&lt;100,5,0))</f>
        <v>5</v>
      </c>
      <c r="K45" s="47">
        <f t="shared" ref="K45" si="69">+IF(AND(I45="",$I$4*B45&gt;100),0.05,0)</f>
        <v>0</v>
      </c>
      <c r="L45" s="48">
        <f t="shared" ref="L45" si="70">+ROUNDUP($I$4*B45*K45+J45,0)</f>
        <v>5</v>
      </c>
      <c r="M45" s="41">
        <f t="shared" ref="M45" si="71">+IF(OR(LEFT(G45&amp;"",1)="C",LEFT(G45&amp;"",1)="R"),ROUNDUP($I$4*B45+L45,-1),$I$4*B45+L45)</f>
        <v>7</v>
      </c>
    </row>
    <row r="46" spans="1:13" s="2" customFormat="1" ht="13" x14ac:dyDescent="0.25">
      <c r="A46" s="13"/>
      <c r="B46" s="45">
        <v>1</v>
      </c>
      <c r="C46" s="46" t="s">
        <v>29</v>
      </c>
      <c r="D46" s="46" t="s">
        <v>69</v>
      </c>
      <c r="E46" s="46" t="s">
        <v>111</v>
      </c>
      <c r="F46" s="46" t="s">
        <v>146</v>
      </c>
      <c r="G46" s="46" t="s">
        <v>188</v>
      </c>
      <c r="H46" s="46" t="s">
        <v>221</v>
      </c>
      <c r="I46" s="46"/>
      <c r="J46" s="48">
        <f>+IF(OR(I46="BGA",I46="FP",I46="TH"),1,IF($I$4*B46&lt;100,5,0))</f>
        <v>5</v>
      </c>
      <c r="K46" s="47">
        <f>+IF(AND(I46="",$I$4*B46&gt;100),0.05,0)</f>
        <v>0</v>
      </c>
      <c r="L46" s="48">
        <f>+ROUNDUP($I$4*B46*K46+J46,0)</f>
        <v>5</v>
      </c>
      <c r="M46" s="41">
        <f>+IF(OR(LEFT(G46&amp;"",1)="C",LEFT(G46&amp;"",1)="R"),ROUNDUP($I$4*B46+L46,-1),$I$4*B46+L46)</f>
        <v>7</v>
      </c>
    </row>
    <row r="47" spans="1:13" s="2" customFormat="1" ht="13" x14ac:dyDescent="0.25">
      <c r="A47" s="13"/>
      <c r="B47" s="45">
        <v>2</v>
      </c>
      <c r="C47" s="46" t="s">
        <v>29</v>
      </c>
      <c r="D47" s="46" t="s">
        <v>70</v>
      </c>
      <c r="E47" s="46" t="s">
        <v>112</v>
      </c>
      <c r="F47" s="46" t="s">
        <v>147</v>
      </c>
      <c r="G47" s="46" t="s">
        <v>189</v>
      </c>
      <c r="H47" s="46" t="s">
        <v>222</v>
      </c>
      <c r="I47" s="46" t="s">
        <v>24</v>
      </c>
      <c r="J47" s="48">
        <f t="shared" ref="J47" si="72">+IF(OR(I47="BGA",I47="FP",I47="TH"),1,IF($I$4*B47&lt;100,5,0))</f>
        <v>5</v>
      </c>
      <c r="K47" s="47">
        <f t="shared" ref="K47" si="73">+IF(AND(I47="",$I$4*B47&gt;100),0.05,0)</f>
        <v>0</v>
      </c>
      <c r="L47" s="48">
        <f t="shared" ref="L47" si="74">+ROUNDUP($I$4*B47*K47+J47,0)</f>
        <v>5</v>
      </c>
      <c r="M47" s="41">
        <f t="shared" ref="M47" si="75">+IF(OR(LEFT(G47&amp;"",1)="C",LEFT(G47&amp;"",1)="R"),ROUNDUP($I$4*B47+L47,-1),$I$4*B47+L47)</f>
        <v>9</v>
      </c>
    </row>
    <row r="48" spans="1:13" s="2" customFormat="1" ht="13" x14ac:dyDescent="0.25">
      <c r="A48" s="13"/>
      <c r="B48" s="45">
        <v>1</v>
      </c>
      <c r="C48" s="46" t="s">
        <v>29</v>
      </c>
      <c r="D48" s="46" t="s">
        <v>71</v>
      </c>
      <c r="E48" s="46" t="s">
        <v>113</v>
      </c>
      <c r="F48" s="46" t="s">
        <v>148</v>
      </c>
      <c r="G48" s="46" t="s">
        <v>190</v>
      </c>
      <c r="H48" s="46" t="s">
        <v>223</v>
      </c>
      <c r="I48" s="46"/>
      <c r="J48" s="48">
        <f>+IF(OR(I48="BGA",I48="FP",I48="TH"),1,IF($I$4*B48&lt;100,5,0))</f>
        <v>5</v>
      </c>
      <c r="K48" s="47">
        <f>+IF(AND(I48="",$I$4*B48&gt;100),0.05,0)</f>
        <v>0</v>
      </c>
      <c r="L48" s="48">
        <f>+ROUNDUP($I$4*B48*K48+J48,0)</f>
        <v>5</v>
      </c>
      <c r="M48" s="41">
        <f>+IF(OR(LEFT(G48&amp;"",1)="C",LEFT(G48&amp;"",1)="R"),ROUNDUP($I$4*B48+L48,-1),$I$4*B48+L48)</f>
        <v>7</v>
      </c>
    </row>
    <row r="49" spans="1:13" s="2" customFormat="1" ht="13" x14ac:dyDescent="0.25">
      <c r="A49" s="13"/>
      <c r="B49" s="45">
        <v>1</v>
      </c>
      <c r="C49" s="46" t="s">
        <v>29</v>
      </c>
      <c r="D49" s="46" t="s">
        <v>72</v>
      </c>
      <c r="E49" s="46" t="s">
        <v>114</v>
      </c>
      <c r="F49" s="46" t="s">
        <v>149</v>
      </c>
      <c r="G49" s="46" t="s">
        <v>191</v>
      </c>
      <c r="H49" s="46" t="s">
        <v>223</v>
      </c>
      <c r="I49" s="46"/>
      <c r="J49" s="48">
        <f t="shared" ref="J49" si="76">+IF(OR(I49="BGA",I49="FP",I49="TH"),1,IF($I$4*B49&lt;100,5,0))</f>
        <v>5</v>
      </c>
      <c r="K49" s="47">
        <f t="shared" ref="K49" si="77">+IF(AND(I49="",$I$4*B49&gt;100),0.05,0)</f>
        <v>0</v>
      </c>
      <c r="L49" s="48">
        <f t="shared" ref="L49" si="78">+ROUNDUP($I$4*B49*K49+J49,0)</f>
        <v>5</v>
      </c>
      <c r="M49" s="41">
        <f t="shared" ref="M49" si="79">+IF(OR(LEFT(G49&amp;"",1)="C",LEFT(G49&amp;"",1)="R"),ROUNDUP($I$4*B49+L49,-1),$I$4*B49+L49)</f>
        <v>7</v>
      </c>
    </row>
    <row r="50" spans="1:13" s="2" customFormat="1" ht="13" x14ac:dyDescent="0.25">
      <c r="A50" s="13"/>
      <c r="B50" s="45">
        <v>5</v>
      </c>
      <c r="C50" s="46" t="s">
        <v>29</v>
      </c>
      <c r="D50" s="46" t="s">
        <v>73</v>
      </c>
      <c r="E50" s="46" t="s">
        <v>115</v>
      </c>
      <c r="F50" s="46" t="s">
        <v>144</v>
      </c>
      <c r="G50" s="46" t="s">
        <v>192</v>
      </c>
      <c r="H50" s="46" t="s">
        <v>219</v>
      </c>
      <c r="I50" s="46" t="s">
        <v>24</v>
      </c>
      <c r="J50" s="48">
        <f>+IF(OR(I50="BGA",I50="FP",I50="TH"),1,IF($I$4*B50&lt;100,5,0))</f>
        <v>5</v>
      </c>
      <c r="K50" s="47">
        <f>+IF(AND(I50="",$I$4*B50&gt;100),0.05,0)</f>
        <v>0</v>
      </c>
      <c r="L50" s="48">
        <f>+ROUNDUP($I$4*B50*K50+J50,0)</f>
        <v>5</v>
      </c>
      <c r="M50" s="41">
        <f>+IF(OR(LEFT(G50&amp;"",1)="C",LEFT(G50&amp;"",1)="R"),ROUNDUP($I$4*B50+L50,-1),$I$4*B50+L50)</f>
        <v>15</v>
      </c>
    </row>
    <row r="51" spans="1:13" x14ac:dyDescent="0.25">
      <c r="A51" s="13"/>
      <c r="B51" s="45">
        <v>1</v>
      </c>
      <c r="C51" s="46" t="s">
        <v>29</v>
      </c>
      <c r="D51" s="46" t="s">
        <v>74</v>
      </c>
      <c r="E51" s="46" t="s">
        <v>116</v>
      </c>
      <c r="F51" s="46" t="s">
        <v>150</v>
      </c>
      <c r="G51" s="46" t="s">
        <v>193</v>
      </c>
      <c r="H51" s="46" t="s">
        <v>220</v>
      </c>
      <c r="I51" s="46"/>
      <c r="J51" s="48">
        <f t="shared" ref="J51" si="80">+IF(OR(I51="BGA",I51="FP",I51="TH"),1,IF($I$4*B51&lt;100,5,0))</f>
        <v>5</v>
      </c>
      <c r="K51" s="47">
        <f t="shared" ref="K51" si="81">+IF(AND(I51="",$I$4*B51&gt;100),0.05,0)</f>
        <v>0</v>
      </c>
      <c r="L51" s="48">
        <f t="shared" ref="L51" si="82">+ROUNDUP($I$4*B51*K51+J51,0)</f>
        <v>5</v>
      </c>
      <c r="M51" s="41">
        <f t="shared" ref="M51" si="83">+IF(OR(LEFT(G51&amp;"",1)="C",LEFT(G51&amp;"",1)="R"),ROUNDUP($I$4*B51+L51,-1),$I$4*B51+L51)</f>
        <v>7</v>
      </c>
    </row>
    <row r="52" spans="1:13" x14ac:dyDescent="0.25">
      <c r="A52" s="14"/>
      <c r="B52" s="42">
        <f>SUM(B10:B51)</f>
        <v>293</v>
      </c>
      <c r="C52" s="43" t="s">
        <v>9</v>
      </c>
      <c r="D52" s="43"/>
      <c r="E52" s="43"/>
      <c r="F52" s="43"/>
      <c r="G52" s="44"/>
      <c r="H52" s="44"/>
      <c r="I52" s="43"/>
      <c r="J52" s="44"/>
      <c r="K52" s="44"/>
      <c r="L52" s="44"/>
      <c r="M52" s="44"/>
    </row>
    <row r="53" spans="1:13" x14ac:dyDescent="0.25">
      <c r="B53" s="1"/>
      <c r="C53" s="1"/>
    </row>
    <row r="54" spans="1:13" x14ac:dyDescent="0.25">
      <c r="B54" s="1"/>
      <c r="C54" s="1"/>
    </row>
    <row r="55" spans="1:13" x14ac:dyDescent="0.25">
      <c r="B55" s="1"/>
      <c r="C55" s="1"/>
    </row>
    <row r="56" spans="1:13" ht="17.5" x14ac:dyDescent="0.25">
      <c r="B56" s="1"/>
      <c r="C56" s="59" t="s">
        <v>8</v>
      </c>
      <c r="D56" s="60"/>
      <c r="E56" s="61"/>
      <c r="F56" s="20"/>
      <c r="G56" s="21"/>
    </row>
    <row r="57" spans="1:13" x14ac:dyDescent="0.25">
      <c r="C57" s="33" t="s">
        <v>3</v>
      </c>
      <c r="D57" s="34"/>
      <c r="E57" s="35">
        <f>COUNT(B10:B51)</f>
        <v>42</v>
      </c>
    </row>
    <row r="58" spans="1:13" x14ac:dyDescent="0.25">
      <c r="C58" s="16" t="s">
        <v>4</v>
      </c>
      <c r="D58" s="30"/>
      <c r="E58" s="28">
        <f>SUMIF($I$10:$I$51, "", $B$10:$B$51)</f>
        <v>240</v>
      </c>
    </row>
    <row r="59" spans="1:13" x14ac:dyDescent="0.25">
      <c r="C59" s="33" t="s">
        <v>5</v>
      </c>
      <c r="D59" s="34"/>
      <c r="E59" s="36">
        <f>SUMIF($I$10:$I$51, "TH", $B$10:$B$51)</f>
        <v>30</v>
      </c>
    </row>
    <row r="60" spans="1:13" x14ac:dyDescent="0.25">
      <c r="C60" s="16" t="s">
        <v>6</v>
      </c>
      <c r="D60" s="30"/>
      <c r="E60" s="28">
        <f>SUMIF($I$10:$I$51, "FP", $B$10:$B$51)</f>
        <v>0</v>
      </c>
    </row>
    <row r="61" spans="1:13" x14ac:dyDescent="0.25">
      <c r="C61" s="33" t="s">
        <v>7</v>
      </c>
      <c r="D61" s="34"/>
      <c r="E61" s="36">
        <f>SUMIF($I$10:$I$51, "BGA", $B$10:$B$51)</f>
        <v>0</v>
      </c>
    </row>
    <row r="62" spans="1:13" x14ac:dyDescent="0.25">
      <c r="C62" s="27" t="s">
        <v>16</v>
      </c>
      <c r="D62" s="31"/>
      <c r="E62" s="29">
        <f>SUMIF($I$10:$I$51, "M", $B$10:$B$51)</f>
        <v>23</v>
      </c>
    </row>
  </sheetData>
  <mergeCells count="3">
    <mergeCell ref="G4:H4"/>
    <mergeCell ref="E8:F8"/>
    <mergeCell ref="C56:E56"/>
  </mergeCells>
  <phoneticPr fontId="0" type="noConversion"/>
  <conditionalFormatting sqref="B10:L51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2025-08-22T20:08:03Z</dcterms:modified>
</cp:coreProperties>
</file>