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niel.sigg\Documents\Protel\PZTDriver\Project Outputs for PZTDewhiteDriver\"/>
    </mc:Choice>
  </mc:AlternateContent>
  <xr:revisionPtr revIDLastSave="0" documentId="8_{F4874755-84E9-46F1-9695-A84D427AEF4C}" xr6:coauthVersionLast="47" xr6:coauthVersionMax="47" xr10:uidLastSave="{00000000-0000-0000-0000-000000000000}"/>
  <bookViews>
    <workbookView xWindow="90" yWindow="150" windowWidth="34020" windowHeight="19050" xr2:uid="{00000000-000D-0000-FFFF-FFFF00000000}"/>
  </bookViews>
  <sheets>
    <sheet name="Part List Repor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49" i="3" l="1"/>
  <c r="N49" i="3" s="1"/>
  <c r="O49" i="3" s="1"/>
  <c r="L49" i="3"/>
  <c r="M48" i="3"/>
  <c r="L48" i="3"/>
  <c r="M47" i="3"/>
  <c r="L47" i="3"/>
  <c r="M46" i="3"/>
  <c r="L46" i="3"/>
  <c r="M45" i="3"/>
  <c r="N45" i="3" s="1"/>
  <c r="O45" i="3" s="1"/>
  <c r="L45" i="3"/>
  <c r="M44" i="3"/>
  <c r="L44" i="3"/>
  <c r="M43" i="3"/>
  <c r="L43" i="3"/>
  <c r="M42" i="3"/>
  <c r="N42" i="3" s="1"/>
  <c r="O42" i="3" s="1"/>
  <c r="L42" i="3"/>
  <c r="M41" i="3"/>
  <c r="N41" i="3" s="1"/>
  <c r="O41" i="3" s="1"/>
  <c r="L41" i="3"/>
  <c r="M40" i="3"/>
  <c r="L40" i="3"/>
  <c r="M39" i="3"/>
  <c r="L39" i="3"/>
  <c r="M38" i="3"/>
  <c r="N38" i="3" s="1"/>
  <c r="O38" i="3" s="1"/>
  <c r="L38" i="3"/>
  <c r="M37" i="3"/>
  <c r="N37" i="3" s="1"/>
  <c r="O37" i="3" s="1"/>
  <c r="L37" i="3"/>
  <c r="M36" i="3"/>
  <c r="L36" i="3"/>
  <c r="M35" i="3"/>
  <c r="L35" i="3"/>
  <c r="M34" i="3"/>
  <c r="N34" i="3" s="1"/>
  <c r="O34" i="3" s="1"/>
  <c r="L34" i="3"/>
  <c r="M33" i="3"/>
  <c r="N33" i="3" s="1"/>
  <c r="O33" i="3" s="1"/>
  <c r="L33" i="3"/>
  <c r="M32" i="3"/>
  <c r="L32" i="3"/>
  <c r="M31" i="3"/>
  <c r="L31" i="3"/>
  <c r="M30" i="3"/>
  <c r="N30" i="3" s="1"/>
  <c r="O30" i="3" s="1"/>
  <c r="L30" i="3"/>
  <c r="M29" i="3"/>
  <c r="N29" i="3" s="1"/>
  <c r="O29" i="3" s="1"/>
  <c r="L29" i="3"/>
  <c r="M28" i="3"/>
  <c r="L28" i="3"/>
  <c r="M27" i="3"/>
  <c r="L27" i="3"/>
  <c r="M26" i="3"/>
  <c r="N26" i="3" s="1"/>
  <c r="O26" i="3" s="1"/>
  <c r="L26" i="3"/>
  <c r="M25" i="3"/>
  <c r="N25" i="3" s="1"/>
  <c r="O25" i="3" s="1"/>
  <c r="L25" i="3"/>
  <c r="M24" i="3"/>
  <c r="N24" i="3" s="1"/>
  <c r="O24" i="3" s="1"/>
  <c r="L24" i="3"/>
  <c r="M23" i="3"/>
  <c r="L23" i="3"/>
  <c r="M22" i="3"/>
  <c r="N22" i="3" s="1"/>
  <c r="O22" i="3" s="1"/>
  <c r="L22" i="3"/>
  <c r="M21" i="3"/>
  <c r="N21" i="3" s="1"/>
  <c r="O21" i="3" s="1"/>
  <c r="L21" i="3"/>
  <c r="M20" i="3"/>
  <c r="N20" i="3" s="1"/>
  <c r="O20" i="3" s="1"/>
  <c r="L20" i="3"/>
  <c r="M19" i="3"/>
  <c r="N19" i="3" s="1"/>
  <c r="O19" i="3" s="1"/>
  <c r="L19" i="3"/>
  <c r="M18" i="3"/>
  <c r="N18" i="3" s="1"/>
  <c r="O18" i="3" s="1"/>
  <c r="L18" i="3"/>
  <c r="M17" i="3"/>
  <c r="N17" i="3" s="1"/>
  <c r="O17" i="3" s="1"/>
  <c r="L17" i="3"/>
  <c r="M16" i="3"/>
  <c r="N16" i="3" s="1"/>
  <c r="O16" i="3" s="1"/>
  <c r="L16" i="3"/>
  <c r="M15" i="3"/>
  <c r="N15" i="3" s="1"/>
  <c r="O15" i="3" s="1"/>
  <c r="L15" i="3"/>
  <c r="M14" i="3"/>
  <c r="N14" i="3" s="1"/>
  <c r="O14" i="3" s="1"/>
  <c r="L14" i="3"/>
  <c r="N13" i="3"/>
  <c r="O13" i="3" s="1"/>
  <c r="M13" i="3"/>
  <c r="L13" i="3"/>
  <c r="M12" i="3"/>
  <c r="L12" i="3"/>
  <c r="L11" i="3"/>
  <c r="M11" i="3"/>
  <c r="M10" i="3"/>
  <c r="L10" i="3"/>
  <c r="G60" i="3"/>
  <c r="G59" i="3"/>
  <c r="G58" i="3"/>
  <c r="G57" i="3"/>
  <c r="G56" i="3"/>
  <c r="G55" i="3"/>
  <c r="B50" i="3"/>
  <c r="F8" i="3"/>
  <c r="G8" i="3"/>
  <c r="N46" i="3" l="1"/>
  <c r="O46" i="3" s="1"/>
  <c r="N23" i="3"/>
  <c r="O23" i="3" s="1"/>
  <c r="N27" i="3"/>
  <c r="O27" i="3" s="1"/>
  <c r="N31" i="3"/>
  <c r="O31" i="3" s="1"/>
  <c r="N28" i="3"/>
  <c r="O28" i="3" s="1"/>
  <c r="N32" i="3"/>
  <c r="O32" i="3" s="1"/>
  <c r="N35" i="3"/>
  <c r="O35" i="3" s="1"/>
  <c r="N39" i="3"/>
  <c r="O39" i="3" s="1"/>
  <c r="N43" i="3"/>
  <c r="O43" i="3" s="1"/>
  <c r="N47" i="3"/>
  <c r="O47" i="3" s="1"/>
  <c r="N12" i="3"/>
  <c r="O12" i="3" s="1"/>
  <c r="N36" i="3"/>
  <c r="O36" i="3" s="1"/>
  <c r="N40" i="3"/>
  <c r="O40" i="3" s="1"/>
  <c r="N44" i="3"/>
  <c r="O44" i="3" s="1"/>
  <c r="N48" i="3"/>
  <c r="O48" i="3" s="1"/>
  <c r="N11" i="3"/>
  <c r="O11" i="3" s="1"/>
  <c r="N10" i="3"/>
  <c r="O10" i="3"/>
</calcChain>
</file>

<file path=xl/sharedStrings.xml><?xml version="1.0" encoding="utf-8"?>
<sst xmlns="http://schemas.openxmlformats.org/spreadsheetml/2006/main" count="357" uniqueCount="212">
  <si>
    <t>Project:</t>
  </si>
  <si>
    <t>Print Date:</t>
  </si>
  <si>
    <t>Report Date:</t>
  </si>
  <si>
    <t>Total # of unique parts</t>
  </si>
  <si>
    <t>SMT Placements per board</t>
  </si>
  <si>
    <t>Thru-Hole placement per board</t>
  </si>
  <si>
    <t>Fine pitch placement per board</t>
  </si>
  <si>
    <t>BGA placement per board</t>
  </si>
  <si>
    <t>Summary per Board</t>
  </si>
  <si>
    <t>Total pieces</t>
  </si>
  <si>
    <t>Quantity to Order</t>
  </si>
  <si>
    <t>Author:</t>
  </si>
  <si>
    <t>Revision</t>
  </si>
  <si>
    <t>LIGO Project</t>
  </si>
  <si>
    <t>Bill of Materials</t>
  </si>
  <si>
    <t>Number of boards</t>
  </si>
  <si>
    <t>Mechanical placement per board</t>
  </si>
  <si>
    <t>Extra</t>
  </si>
  <si>
    <t>Excess</t>
  </si>
  <si>
    <t>Add</t>
  </si>
  <si>
    <t>D2500193</t>
  </si>
  <si>
    <t>1</t>
  </si>
  <si>
    <t>PZTDewhiteDriver.PrjPcb</t>
  </si>
  <si>
    <t>4</t>
  </si>
  <si>
    <t>Daniel Sigg</t>
  </si>
  <si>
    <t>6/30/2025</t>
  </si>
  <si>
    <t>2:19 PM</t>
  </si>
  <si>
    <t>Quantity</t>
  </si>
  <si>
    <t>Manufacturer 1</t>
  </si>
  <si>
    <t>Building Fasteners</t>
  </si>
  <si>
    <t>TE Connectivity</t>
  </si>
  <si>
    <t>Essentra</t>
  </si>
  <si>
    <t>Alpha Wire</t>
  </si>
  <si>
    <t>3M</t>
  </si>
  <si>
    <t>Molex</t>
  </si>
  <si>
    <t>Keystone Electronics</t>
  </si>
  <si>
    <t>CTS</t>
  </si>
  <si>
    <t>Apex Microtechnology</t>
  </si>
  <si>
    <t>Dialight</t>
  </si>
  <si>
    <t>Amphenol Connex</t>
  </si>
  <si>
    <t>Weidmuller</t>
  </si>
  <si>
    <t>Manufacturer Part Number 1</t>
  </si>
  <si>
    <t>NY PMS 440 0025 PH</t>
  </si>
  <si>
    <t>1-329632-2</t>
  </si>
  <si>
    <t>1-329631-2</t>
  </si>
  <si>
    <t>SCBSB-8-01A-RT</t>
  </si>
  <si>
    <t>2413C-SL005</t>
  </si>
  <si>
    <t>M3DDA-1420K</t>
  </si>
  <si>
    <t>08-55-0103</t>
  </si>
  <si>
    <t>7-340-2PP-BA</t>
  </si>
  <si>
    <t>PA91</t>
  </si>
  <si>
    <t>0800632TNA</t>
  </si>
  <si>
    <t>1903A</t>
  </si>
  <si>
    <t>607-1212-120F</t>
  </si>
  <si>
    <t>TW07</t>
  </si>
  <si>
    <t>135101-04-36.00</t>
  </si>
  <si>
    <t>26-61-4030</t>
  </si>
  <si>
    <t>1587-1</t>
  </si>
  <si>
    <t>Supplier 1</t>
  </si>
  <si>
    <t>McMaster-Carr</t>
  </si>
  <si>
    <t>Digikey</t>
  </si>
  <si>
    <t>DigiKey</t>
  </si>
  <si>
    <t>LIGO</t>
  </si>
  <si>
    <t>Mouser</t>
  </si>
  <si>
    <t>Pasternack</t>
  </si>
  <si>
    <t>Supplier Part Number 1</t>
  </si>
  <si>
    <t>91771A111</t>
  </si>
  <si>
    <t>H542-ND</t>
  </si>
  <si>
    <t>91099A205</t>
  </si>
  <si>
    <t>91099A215</t>
  </si>
  <si>
    <t>96909A444</t>
  </si>
  <si>
    <t>A1129-ND</t>
  </si>
  <si>
    <t>A1128-ND</t>
  </si>
  <si>
    <t>RPC3214-ND</t>
  </si>
  <si>
    <t>2413CSL005-ND</t>
  </si>
  <si>
    <t>M3DDA-1420K-ND</t>
  </si>
  <si>
    <t>D1700042-v1</t>
  </si>
  <si>
    <t>WM2321CT-ND</t>
  </si>
  <si>
    <t>36-9121-ND</t>
  </si>
  <si>
    <t>294-1080-ND</t>
  </si>
  <si>
    <t>137-PA91</t>
  </si>
  <si>
    <t>A24479-ND</t>
  </si>
  <si>
    <t>RPC8738-ND</t>
  </si>
  <si>
    <t>36-2210-ND</t>
  </si>
  <si>
    <t>36-1903A-ND</t>
  </si>
  <si>
    <t>D1001203-v2</t>
  </si>
  <si>
    <t>D0901846-v5</t>
  </si>
  <si>
    <t>D2500194-v1</t>
  </si>
  <si>
    <t>D1001204-v1</t>
  </si>
  <si>
    <t>D2500195-v1</t>
  </si>
  <si>
    <t>D2500196-v1</t>
  </si>
  <si>
    <t>D2500135-v1</t>
  </si>
  <si>
    <t>D1001205-v1</t>
  </si>
  <si>
    <t>350-1871-ND</t>
  </si>
  <si>
    <t>36-9106-ND</t>
  </si>
  <si>
    <t>A28279-ND</t>
  </si>
  <si>
    <t>A28269-ND</t>
  </si>
  <si>
    <t>PE44080</t>
  </si>
  <si>
    <t>137-TW07</t>
  </si>
  <si>
    <t>PE3515-12</t>
  </si>
  <si>
    <t>PE3515-18</t>
  </si>
  <si>
    <t>ACX1582-ND</t>
  </si>
  <si>
    <t>WM2112-ND</t>
  </si>
  <si>
    <t>WM5225-ND</t>
  </si>
  <si>
    <t>281-2597-ND</t>
  </si>
  <si>
    <t>36-1587-1-ND</t>
  </si>
  <si>
    <t>Name</t>
  </si>
  <si>
    <t>#4-40 3/16" flat</t>
  </si>
  <si>
    <t>#4-40, 1/4" nylon</t>
  </si>
  <si>
    <t>#6-32 1/4" flat</t>
  </si>
  <si>
    <t>#6-32 3/8" flat</t>
  </si>
  <si>
    <t>#6-32 pan, locker, 1/4"</t>
  </si>
  <si>
    <t>BNC lock washer</t>
  </si>
  <si>
    <t>BNC nut</t>
  </si>
  <si>
    <t>Board support 0.5"</t>
  </si>
  <si>
    <t>Cable AWG20</t>
  </si>
  <si>
    <t>Cable Assembly</t>
  </si>
  <si>
    <t>1U chassis</t>
  </si>
  <si>
    <t>Contact</t>
  </si>
  <si>
    <t>Ferrule</t>
  </si>
  <si>
    <t>Heatsink</t>
  </si>
  <si>
    <t>insulating bushing</t>
  </si>
  <si>
    <t>Thumb nut</t>
  </si>
  <si>
    <t>#6 standoff, 1/2"</t>
  </si>
  <si>
    <t>Hex spacer 0.25", #6-32</t>
  </si>
  <si>
    <t>PZT Driver Board</t>
  </si>
  <si>
    <t>Low Noise Power Module</t>
  </si>
  <si>
    <t>Front Panel</t>
  </si>
  <si>
    <t>PZT Driver Interface Board</t>
  </si>
  <si>
    <t>Rear Panel</t>
  </si>
  <si>
    <t>PZT Driver Dewhitening Interface Board</t>
  </si>
  <si>
    <t>ISC Mixed Whitening/Dewhitening Board</t>
  </si>
  <si>
    <t>HV guard</t>
  </si>
  <si>
    <t>LED</t>
  </si>
  <si>
    <t>Handle, 1.25"</t>
  </si>
  <si>
    <t>ring terminal, 1/2"</t>
  </si>
  <si>
    <t>ring terminal, #6</t>
  </si>
  <si>
    <t>SHV bulkhead</t>
  </si>
  <si>
    <t>Thermal pad</t>
  </si>
  <si>
    <t>SMA cable</t>
  </si>
  <si>
    <t>Socket</t>
  </si>
  <si>
    <t>Straight Header</t>
  </si>
  <si>
    <t>Terminal turret</t>
  </si>
  <si>
    <t>Description</t>
  </si>
  <si>
    <t>#4-40 3/16" flat head screw</t>
  </si>
  <si>
    <t>#4-40, 1/4" flat head screw, nylon</t>
  </si>
  <si>
    <t>#6-32 1/4" flat head screw</t>
  </si>
  <si>
    <t>#6-32 3/8" flat head screw</t>
  </si>
  <si>
    <t>#6-32 pan head screw with lock washer, 1/4"</t>
  </si>
  <si>
    <t>Board Support, threaded stud, #6-32, 0.5"</t>
  </si>
  <si>
    <t>Cable</t>
  </si>
  <si>
    <t>Cable, IDC, 14-pin</t>
  </si>
  <si>
    <t>chassis</t>
  </si>
  <si>
    <t>Heatsink 7-340-2PP-BA</t>
  </si>
  <si>
    <t>HV Operational Amplifier</t>
  </si>
  <si>
    <t>insulating bushing for BNC/SHV</t>
  </si>
  <si>
    <t>Knurled thumb nut, #6-32</t>
  </si>
  <si>
    <t>Mounting hardware</t>
  </si>
  <si>
    <t>Nylon spacer</t>
  </si>
  <si>
    <t>panel</t>
  </si>
  <si>
    <t>Panel mount LED</t>
  </si>
  <si>
    <t>Rack handle</t>
  </si>
  <si>
    <t>SIP-12 Thermal pad</t>
  </si>
  <si>
    <t>SMA cable, 12"</t>
  </si>
  <si>
    <t>SMA cable, 18"</t>
  </si>
  <si>
    <t>SMA cable, 36"</t>
  </si>
  <si>
    <t>terminal block</t>
  </si>
  <si>
    <t>Designator</t>
  </si>
  <si>
    <t>E1, E2, E3, E4, E5, E6, E7, E8, E9, E10, E11, E12, E13, E14, E15, E16, E17, E18, E19, E20, E21, E22, E23, E24, E25, E26, E27, E28, E29, E30, E31, E32, E33, E34, E35, E36, E37, E38, E39, E40, E41, E42, E43, E44</t>
  </si>
  <si>
    <t>E65, E66, E67, E68</t>
  </si>
  <si>
    <t>E61, E62, E63, E64, M1, M2, M3, M4, M5, M6</t>
  </si>
  <si>
    <t>H7, M7, M8, M9, M10</t>
  </si>
  <si>
    <t>H10, H31, H32, H33, H34, H35, H36, H41, H42, H43, H44</t>
  </si>
  <si>
    <t>E45, E47, E49, E51, E53, E55, E57, E59</t>
  </si>
  <si>
    <t>E46, E48, E50, E52, E54, E56, E58, E60</t>
  </si>
  <si>
    <t>H45, H46</t>
  </si>
  <si>
    <t>C1</t>
  </si>
  <si>
    <t>S7, S8</t>
  </si>
  <si>
    <t>PN1</t>
  </si>
  <si>
    <t>S11B, S11C, S11D</t>
  </si>
  <si>
    <t>H13, H14, H15, H16</t>
  </si>
  <si>
    <t>H29, H30</t>
  </si>
  <si>
    <t>PN11, PN12</t>
  </si>
  <si>
    <t>H1, H2, H3, H4, H17, H18, H19, H20, H21, H22, H23, H24, H25, H26, H27, H28</t>
  </si>
  <si>
    <t>H47, H48</t>
  </si>
  <si>
    <t>H8</t>
  </si>
  <si>
    <t>H37, H38, H39, H40</t>
  </si>
  <si>
    <t>PN2, PN5</t>
  </si>
  <si>
    <t>PN3</t>
  </si>
  <si>
    <t>PN4</t>
  </si>
  <si>
    <t>PN6</t>
  </si>
  <si>
    <t>PN7</t>
  </si>
  <si>
    <t>PN8</t>
  </si>
  <si>
    <t>PN9</t>
  </si>
  <si>
    <t>PN15</t>
  </si>
  <si>
    <t>U1</t>
  </si>
  <si>
    <t>H11, H12</t>
  </si>
  <si>
    <t>H5, H6</t>
  </si>
  <si>
    <t>H9</t>
  </si>
  <si>
    <t>S1A, S2A</t>
  </si>
  <si>
    <t>PN13, PN14</t>
  </si>
  <si>
    <t>S5, S6</t>
  </si>
  <si>
    <t>S3, S4</t>
  </si>
  <si>
    <t>S1</t>
  </si>
  <si>
    <t>S11</t>
  </si>
  <si>
    <t>S11A</t>
  </si>
  <si>
    <t>S9, S10</t>
  </si>
  <si>
    <t>PN10</t>
  </si>
  <si>
    <t>Footprint</t>
  </si>
  <si>
    <t/>
  </si>
  <si>
    <t>Assembly Type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</si>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</sst>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9]dd\-mmm\-yy;@"/>
    <numFmt numFmtId="165" formatCode="[$-409]h:mm:ss\ AM/PM;@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color indexed="13"/>
      <name val="Arial"/>
      <family val="2"/>
    </font>
    <font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2"/>
      <color indexed="10"/>
      <name val="Arial"/>
      <family val="2"/>
    </font>
    <font>
      <b/>
      <sz val="16"/>
      <color indexed="48"/>
      <name val="Arial"/>
      <family val="2"/>
    </font>
    <font>
      <b/>
      <sz val="18"/>
      <color indexed="48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6"/>
      <color indexed="48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top"/>
    </xf>
    <xf numFmtId="0" fontId="5" fillId="2" borderId="0" xfId="0" applyFont="1" applyFill="1"/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5" fillId="2" borderId="1" xfId="0" applyFont="1" applyFill="1" applyBorder="1" applyAlignment="1">
      <alignment horizontal="left"/>
    </xf>
    <xf numFmtId="0" fontId="6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left"/>
    </xf>
    <xf numFmtId="0" fontId="7" fillId="2" borderId="0" xfId="0" applyFont="1" applyFill="1"/>
    <xf numFmtId="0" fontId="9" fillId="2" borderId="0" xfId="0" applyFont="1" applyFill="1"/>
    <xf numFmtId="0" fontId="4" fillId="2" borderId="3" xfId="0" applyFont="1" applyFill="1" applyBorder="1"/>
    <xf numFmtId="0" fontId="4" fillId="2" borderId="0" xfId="0" applyFont="1" applyFill="1"/>
    <xf numFmtId="0" fontId="6" fillId="2" borderId="2" xfId="0" applyFont="1" applyFill="1" applyBorder="1"/>
    <xf numFmtId="0" fontId="0" fillId="0" borderId="4" xfId="0" applyBorder="1" applyAlignment="1">
      <alignment vertical="top"/>
    </xf>
    <xf numFmtId="0" fontId="9" fillId="2" borderId="0" xfId="0" applyFont="1" applyFill="1" applyAlignment="1">
      <alignment horizontal="left"/>
    </xf>
    <xf numFmtId="0" fontId="11" fillId="2" borderId="5" xfId="0" applyFont="1" applyFill="1" applyBorder="1" applyAlignment="1">
      <alignment vertical="center"/>
    </xf>
    <xf numFmtId="0" fontId="0" fillId="0" borderId="6" xfId="0" applyBorder="1" applyAlignment="1">
      <alignment vertical="top"/>
    </xf>
    <xf numFmtId="0" fontId="12" fillId="0" borderId="4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4" fillId="2" borderId="5" xfId="0" applyFont="1" applyFill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0" fillId="0" borderId="3" xfId="0" applyBorder="1" applyAlignment="1">
      <alignment vertical="top"/>
    </xf>
    <xf numFmtId="0" fontId="10" fillId="2" borderId="8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0" fillId="0" borderId="11" xfId="0" applyBorder="1" applyAlignment="1">
      <alignment vertical="top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164" fontId="6" fillId="2" borderId="0" xfId="0" applyNumberFormat="1" applyFont="1" applyFill="1" applyAlignment="1">
      <alignment horizontal="left"/>
    </xf>
    <xf numFmtId="0" fontId="0" fillId="4" borderId="4" xfId="0" applyFill="1" applyBorder="1" applyAlignment="1">
      <alignment vertical="top"/>
    </xf>
    <xf numFmtId="0" fontId="0" fillId="4" borderId="12" xfId="0" applyFill="1" applyBorder="1" applyAlignment="1">
      <alignment vertical="top"/>
    </xf>
    <xf numFmtId="1" fontId="0" fillId="4" borderId="12" xfId="0" applyNumberFormat="1" applyFill="1" applyBorder="1" applyAlignment="1">
      <alignment horizontal="center" vertical="top"/>
    </xf>
    <xf numFmtId="0" fontId="0" fillId="4" borderId="12" xfId="0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10" fillId="2" borderId="5" xfId="0" applyFont="1" applyFill="1" applyBorder="1" applyAlignment="1">
      <alignment vertical="center"/>
    </xf>
    <xf numFmtId="0" fontId="3" fillId="6" borderId="16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5" fillId="5" borderId="15" xfId="0" applyFont="1" applyFill="1" applyBorder="1" applyAlignment="1">
      <alignment horizontal="right" vertical="center"/>
    </xf>
    <xf numFmtId="1" fontId="15" fillId="3" borderId="18" xfId="0" applyNumberFormat="1" applyFont="1" applyFill="1" applyBorder="1" applyAlignment="1">
      <alignment horizontal="center" vertical="top"/>
    </xf>
    <xf numFmtId="0" fontId="15" fillId="3" borderId="19" xfId="0" applyFont="1" applyFill="1" applyBorder="1" applyAlignment="1">
      <alignment vertical="top"/>
    </xf>
    <xf numFmtId="0" fontId="15" fillId="3" borderId="20" xfId="0" applyFont="1" applyFill="1" applyBorder="1" applyAlignment="1">
      <alignment vertical="top"/>
    </xf>
    <xf numFmtId="0" fontId="15" fillId="0" borderId="0" xfId="0" applyFont="1"/>
    <xf numFmtId="49" fontId="15" fillId="0" borderId="0" xfId="0" applyNumberFormat="1" applyFont="1" applyAlignment="1">
      <alignment wrapText="1"/>
    </xf>
    <xf numFmtId="9" fontId="15" fillId="0" borderId="0" xfId="0" applyNumberFormat="1" applyFont="1"/>
    <xf numFmtId="1" fontId="15" fillId="0" borderId="0" xfId="0" applyNumberFormat="1" applyFont="1"/>
    <xf numFmtId="1" fontId="15" fillId="3" borderId="2" xfId="0" applyNumberFormat="1" applyFont="1" applyFill="1" applyBorder="1" applyAlignment="1">
      <alignment horizontal="center" vertical="top"/>
    </xf>
    <xf numFmtId="0" fontId="13" fillId="4" borderId="9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165" fontId="6" fillId="2" borderId="0" xfId="0" applyNumberFormat="1" applyFont="1" applyFill="1" applyAlignment="1">
      <alignment horizontal="left"/>
    </xf>
    <xf numFmtId="0" fontId="0" fillId="0" borderId="0" xfId="0"/>
    <xf numFmtId="0" fontId="12" fillId="6" borderId="9" xfId="0" applyFont="1" applyFill="1" applyBorder="1" applyAlignment="1">
      <alignment horizontal="center" vertical="top" wrapText="1"/>
    </xf>
    <xf numFmtId="0" fontId="0" fillId="6" borderId="14" xfId="0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10" fillId="2" borderId="5" xfId="0" quotePrefix="1" applyFont="1" applyFill="1" applyBorder="1" applyAlignment="1">
      <alignment vertical="center"/>
    </xf>
    <xf numFmtId="0" fontId="14" fillId="0" borderId="5" xfId="0" quotePrefix="1" applyFont="1" applyBorder="1" applyAlignment="1">
      <alignment vertical="center"/>
    </xf>
    <xf numFmtId="0" fontId="9" fillId="2" borderId="1" xfId="0" quotePrefix="1" applyFont="1" applyFill="1" applyBorder="1" applyAlignment="1">
      <alignment horizontal="left"/>
    </xf>
    <xf numFmtId="1" fontId="1" fillId="5" borderId="7" xfId="0" quotePrefix="1" applyNumberFormat="1" applyFont="1" applyFill="1" applyBorder="1" applyAlignment="1">
      <alignment horizontal="right" vertical="center"/>
    </xf>
    <xf numFmtId="0" fontId="9" fillId="2" borderId="2" xfId="0" quotePrefix="1" applyFont="1" applyFill="1" applyBorder="1" applyAlignment="1">
      <alignment horizontal="left"/>
    </xf>
    <xf numFmtId="0" fontId="6" fillId="2" borderId="2" xfId="0" quotePrefix="1" applyFont="1" applyFill="1" applyBorder="1" applyAlignment="1">
      <alignment horizontal="left"/>
    </xf>
  </cellXfs>
  <cellStyles count="1">
    <cellStyle name="Normal" xfId="0" builtinId="0"/>
  </cellStyles>
  <dxfs count="20"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 outline="0">
        <left style="hair">
          <color indexed="64"/>
        </left>
        <right/>
        <top/>
        <bottom style="hair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13"/>
        <name val="Arial"/>
        <scheme val="none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B9:O50" totalsRowShown="0" headerRowDxfId="19" dataDxfId="17" headerRowBorderDxfId="18" tableBorderDxfId="16">
  <autoFilter ref="B9:O50" xr:uid="{00000000-0009-0000-0100-000002000000}"/>
  <tableColumns count="14">
    <tableColumn id="1" xr3:uid="{00000000-0010-0000-0000-000001000000}" name="Quantity" dataDxfId="15"/>
    <tableColumn id="13" xr3:uid="{E63D2325-985C-42DA-B8D6-1DEE83CC2C12}" name="Manufacturer 1" dataDxfId="14"/>
    <tableColumn id="14" xr3:uid="{99B152BA-3BCD-4256-B3DD-EB9E28C53A85}" name="Manufacturer Part Number 1" dataDxfId="13"/>
    <tableColumn id="2" xr3:uid="{00000000-0010-0000-0000-000002000000}" name="Supplier 1" dataDxfId="12"/>
    <tableColumn id="3" xr3:uid="{00000000-0010-0000-0000-000003000000}" name="Supplier Part Number 1" dataDxfId="11"/>
    <tableColumn id="4" xr3:uid="{00000000-0010-0000-0000-000004000000}" name="Name" dataDxfId="10"/>
    <tableColumn id="5" xr3:uid="{00000000-0010-0000-0000-000005000000}" name="Description" dataDxfId="9"/>
    <tableColumn id="6" xr3:uid="{00000000-0010-0000-0000-000006000000}" name="Designator" dataDxfId="8"/>
    <tableColumn id="7" xr3:uid="{00000000-0010-0000-0000-000007000000}" name="Footprint" dataDxfId="7"/>
    <tableColumn id="8" xr3:uid="{00000000-0010-0000-0000-000008000000}" name="Assembly Type" dataDxfId="6"/>
    <tableColumn id="9" xr3:uid="{00000000-0010-0000-0000-000009000000}" name="Extra" dataDxfId="5"/>
    <tableColumn id="10" xr3:uid="{00000000-0010-0000-0000-00000A000000}" name="Excess" dataDxfId="4"/>
    <tableColumn id="11" xr3:uid="{00000000-0010-0000-0000-00000B000000}" name="Add" dataDxfId="3"/>
    <tableColumn id="12" xr3:uid="{00000000-0010-0000-0000-00000C000000}" name="Quantity to Order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O60"/>
  <sheetViews>
    <sheetView showGridLines="0" tabSelected="1" zoomScaleNormal="100" workbookViewId="0">
      <selection activeCell="H22" sqref="H22"/>
    </sheetView>
  </sheetViews>
  <sheetFormatPr defaultColWidth="9.1796875" defaultRowHeight="12.5" x14ac:dyDescent="0.25"/>
  <cols>
    <col min="1" max="1" width="0.81640625" style="1" customWidth="1"/>
    <col min="2" max="2" width="7.26953125" style="3" customWidth="1"/>
    <col min="3" max="4" width="23.1796875" style="3" customWidth="1"/>
    <col min="5" max="5" width="18.54296875" style="3" customWidth="1"/>
    <col min="6" max="6" width="24.81640625" style="1" customWidth="1"/>
    <col min="7" max="7" width="18" style="1" customWidth="1"/>
    <col min="8" max="8" width="30.7265625" style="1" customWidth="1"/>
    <col min="9" max="9" width="74.54296875" style="1" customWidth="1"/>
    <col min="10" max="10" width="17.26953125" style="1" customWidth="1"/>
    <col min="11" max="11" width="5.453125" style="1" customWidth="1"/>
    <col min="12" max="12" width="7" style="1" customWidth="1"/>
    <col min="13" max="13" width="8.7265625" style="1" customWidth="1"/>
    <col min="14" max="14" width="6.7265625" style="1" customWidth="1"/>
    <col min="15" max="15" width="12.54296875" style="1" customWidth="1"/>
    <col min="16" max="16384" width="9.1796875" style="1"/>
  </cols>
  <sheetData>
    <row r="1" spans="1:15" ht="4.5" customHeight="1" thickBot="1" x14ac:dyDescent="0.3">
      <c r="A1" s="14"/>
      <c r="B1" s="14"/>
      <c r="C1" s="14"/>
      <c r="D1" s="14"/>
      <c r="E1" s="14"/>
      <c r="F1" s="14"/>
      <c r="G1" s="14"/>
      <c r="H1" s="14"/>
      <c r="I1" s="14"/>
      <c r="J1" s="14"/>
    </row>
    <row r="2" spans="1:15" ht="37.5" customHeight="1" x14ac:dyDescent="0.25">
      <c r="A2" s="13"/>
      <c r="B2" s="25" t="s">
        <v>14</v>
      </c>
      <c r="C2" s="38"/>
      <c r="D2" s="38"/>
      <c r="E2" s="26"/>
      <c r="F2" s="18"/>
      <c r="G2" s="22" t="s">
        <v>13</v>
      </c>
      <c r="H2" s="18"/>
      <c r="I2" s="58" t="s">
        <v>20</v>
      </c>
      <c r="J2" s="22" t="s">
        <v>12</v>
      </c>
      <c r="K2" s="59" t="s">
        <v>21</v>
      </c>
      <c r="L2" s="23"/>
      <c r="M2" s="23"/>
      <c r="N2" s="23"/>
      <c r="O2" s="19"/>
    </row>
    <row r="3" spans="1:15" ht="23.25" customHeight="1" x14ac:dyDescent="0.35">
      <c r="A3" s="13"/>
      <c r="B3" s="12"/>
      <c r="C3" s="12"/>
      <c r="D3" s="12"/>
      <c r="E3" s="5"/>
      <c r="F3" s="17"/>
      <c r="G3" s="4"/>
      <c r="H3" s="4"/>
      <c r="I3" s="4"/>
      <c r="J3" s="4"/>
      <c r="O3" s="24"/>
    </row>
    <row r="4" spans="1:15" ht="17.25" customHeight="1" x14ac:dyDescent="0.35">
      <c r="A4" s="13"/>
      <c r="B4" s="12" t="s">
        <v>0</v>
      </c>
      <c r="C4" s="12"/>
      <c r="D4" s="12"/>
      <c r="E4" s="5"/>
      <c r="F4" s="60" t="s">
        <v>22</v>
      </c>
      <c r="G4" s="8"/>
      <c r="H4" s="6"/>
      <c r="I4" s="51" t="s">
        <v>15</v>
      </c>
      <c r="J4" s="52"/>
      <c r="K4" s="61" t="s">
        <v>23</v>
      </c>
      <c r="L4" s="37"/>
      <c r="M4" s="37"/>
      <c r="N4" s="37"/>
      <c r="O4" s="24"/>
    </row>
    <row r="5" spans="1:15" ht="17.25" customHeight="1" x14ac:dyDescent="0.35">
      <c r="A5" s="13"/>
      <c r="B5" s="12" t="s">
        <v>11</v>
      </c>
      <c r="C5" s="12"/>
      <c r="D5" s="12"/>
      <c r="E5" s="5"/>
      <c r="F5" s="62" t="s">
        <v>24</v>
      </c>
      <c r="G5" s="15"/>
      <c r="H5" s="6"/>
      <c r="I5" s="6"/>
      <c r="J5" s="6"/>
      <c r="O5" s="24"/>
    </row>
    <row r="6" spans="1:15" ht="13" x14ac:dyDescent="0.3">
      <c r="A6" s="13"/>
      <c r="B6" s="9"/>
      <c r="C6" s="9"/>
      <c r="D6" s="9"/>
      <c r="E6" s="7"/>
      <c r="F6" s="10"/>
      <c r="G6" s="8"/>
      <c r="H6" s="6"/>
      <c r="I6" s="6"/>
      <c r="J6" s="6"/>
      <c r="O6" s="24"/>
    </row>
    <row r="7" spans="1:15" ht="15.75" customHeight="1" x14ac:dyDescent="0.25">
      <c r="A7" s="13"/>
      <c r="B7" s="11" t="s">
        <v>2</v>
      </c>
      <c r="C7" s="11"/>
      <c r="D7" s="11"/>
      <c r="F7" s="63" t="s">
        <v>25</v>
      </c>
      <c r="G7" s="63" t="s">
        <v>26</v>
      </c>
      <c r="H7" s="11"/>
      <c r="I7" s="11"/>
      <c r="J7" s="11"/>
      <c r="O7" s="24"/>
    </row>
    <row r="8" spans="1:15" ht="15.75" customHeight="1" x14ac:dyDescent="0.25">
      <c r="A8" s="13"/>
      <c r="B8" s="6" t="s">
        <v>1</v>
      </c>
      <c r="C8" s="6"/>
      <c r="D8" s="6"/>
      <c r="F8" s="32">
        <f ca="1">TODAY()</f>
        <v>45838</v>
      </c>
      <c r="G8" s="53">
        <f ca="1">NOW()</f>
        <v>45838.59667071759</v>
      </c>
      <c r="H8" s="54"/>
      <c r="I8" s="11"/>
      <c r="J8" s="11"/>
      <c r="O8" s="24"/>
    </row>
    <row r="9" spans="1:15" s="2" customFormat="1" ht="24.75" customHeight="1" x14ac:dyDescent="0.25">
      <c r="A9" s="13"/>
      <c r="B9" s="39" t="s">
        <v>27</v>
      </c>
      <c r="C9" s="41" t="s">
        <v>28</v>
      </c>
      <c r="D9" s="41" t="s">
        <v>41</v>
      </c>
      <c r="E9" s="40" t="s">
        <v>58</v>
      </c>
      <c r="F9" s="40" t="s">
        <v>65</v>
      </c>
      <c r="G9" s="40" t="s">
        <v>106</v>
      </c>
      <c r="H9" s="40" t="s">
        <v>143</v>
      </c>
      <c r="I9" s="41" t="s">
        <v>167</v>
      </c>
      <c r="J9" s="40" t="s">
        <v>208</v>
      </c>
      <c r="K9" s="40" t="s">
        <v>210</v>
      </c>
      <c r="L9" s="41" t="s">
        <v>17</v>
      </c>
      <c r="M9" s="41" t="s">
        <v>18</v>
      </c>
      <c r="N9" s="41" t="s">
        <v>19</v>
      </c>
      <c r="O9" s="41" t="s">
        <v>10</v>
      </c>
    </row>
    <row r="10" spans="1:15" s="2" customFormat="1" ht="20.5" x14ac:dyDescent="0.25">
      <c r="A10" s="13"/>
      <c r="B10" s="46">
        <v>44</v>
      </c>
      <c r="C10" s="46"/>
      <c r="D10" s="46"/>
      <c r="E10" s="47" t="s">
        <v>59</v>
      </c>
      <c r="F10" s="47" t="s">
        <v>66</v>
      </c>
      <c r="G10" s="47" t="s">
        <v>107</v>
      </c>
      <c r="H10" s="47" t="s">
        <v>144</v>
      </c>
      <c r="I10" s="47" t="s">
        <v>168</v>
      </c>
      <c r="J10" s="47" t="s">
        <v>209</v>
      </c>
      <c r="K10" s="47" t="s">
        <v>211</v>
      </c>
      <c r="L10" s="49">
        <f>+IF(OR(K10="BGA",K10="FP",K10="TH"),1,IF($K$4*B10&lt;100,5,0))</f>
        <v>0</v>
      </c>
      <c r="M10" s="48">
        <f>+IF(AND(K10="",$K$4*B10&gt;100),0.05,0)</f>
        <v>0</v>
      </c>
      <c r="N10" s="49">
        <f>+ROUNDUP($K$4*B10*M10+L10,0)</f>
        <v>0</v>
      </c>
      <c r="O10" s="42">
        <f>+IF(OR(LEFT(I10&amp;"",1)="C",LEFT(I10&amp;"",1)="R"),ROUNDUP($K$4*B10+N10,-1),$K$4*B10+N10)</f>
        <v>176</v>
      </c>
    </row>
    <row r="11" spans="1:15" s="2" customFormat="1" ht="13" x14ac:dyDescent="0.25">
      <c r="A11" s="13"/>
      <c r="B11" s="46">
        <v>4</v>
      </c>
      <c r="C11" s="46" t="s">
        <v>29</v>
      </c>
      <c r="D11" s="46" t="s">
        <v>42</v>
      </c>
      <c r="E11" s="47" t="s">
        <v>60</v>
      </c>
      <c r="F11" s="47" t="s">
        <v>67</v>
      </c>
      <c r="G11" s="47" t="s">
        <v>108</v>
      </c>
      <c r="H11" s="47" t="s">
        <v>145</v>
      </c>
      <c r="I11" s="47" t="s">
        <v>169</v>
      </c>
      <c r="J11" s="47" t="s">
        <v>209</v>
      </c>
      <c r="K11" s="47" t="s">
        <v>211</v>
      </c>
      <c r="L11" s="49">
        <f t="shared" ref="L11:L49" si="0">+IF(OR(K11="BGA",K11="FP",K11="TH"),1,IF($K$4*B11&lt;100,5,0))</f>
        <v>5</v>
      </c>
      <c r="M11" s="48">
        <f t="shared" ref="M11:M49" si="1">+IF(AND(K11="",$K$4*B11&gt;100),0.05,0)</f>
        <v>0</v>
      </c>
      <c r="N11" s="49">
        <f t="shared" ref="N11:N49" si="2">+ROUNDUP($K$4*B11*M11+L11,0)</f>
        <v>5</v>
      </c>
      <c r="O11" s="42">
        <f t="shared" ref="O11:O49" si="3">+IF(OR(LEFT(I11&amp;"",1)="C",LEFT(I11&amp;"",1)="R"),ROUNDUP($K$4*B11+N11,-1),$K$4*B11+N11)</f>
        <v>21</v>
      </c>
    </row>
    <row r="12" spans="1:15" s="2" customFormat="1" ht="13" x14ac:dyDescent="0.25">
      <c r="A12" s="13"/>
      <c r="B12" s="46">
        <v>10</v>
      </c>
      <c r="C12" s="46"/>
      <c r="D12" s="46"/>
      <c r="E12" s="47" t="s">
        <v>59</v>
      </c>
      <c r="F12" s="47" t="s">
        <v>68</v>
      </c>
      <c r="G12" s="47" t="s">
        <v>109</v>
      </c>
      <c r="H12" s="47" t="s">
        <v>146</v>
      </c>
      <c r="I12" s="47" t="s">
        <v>170</v>
      </c>
      <c r="J12" s="47" t="s">
        <v>209</v>
      </c>
      <c r="K12" s="47" t="s">
        <v>211</v>
      </c>
      <c r="L12" s="49">
        <f>+IF(OR(K12="BGA",K12="FP",K12="TH"),1,IF($K$4*B12&lt;100,5,0))</f>
        <v>5</v>
      </c>
      <c r="M12" s="48">
        <f>+IF(AND(K12="",$K$4*B12&gt;100),0.05,0)</f>
        <v>0</v>
      </c>
      <c r="N12" s="49">
        <f>+ROUNDUP($K$4*B12*M12+L12,0)</f>
        <v>5</v>
      </c>
      <c r="O12" s="42">
        <f>+IF(OR(LEFT(I12&amp;"",1)="C",LEFT(I12&amp;"",1)="R"),ROUNDUP($K$4*B12+N12,-1),$K$4*B12+N12)</f>
        <v>45</v>
      </c>
    </row>
    <row r="13" spans="1:15" s="2" customFormat="1" ht="13" x14ac:dyDescent="0.25">
      <c r="A13" s="13"/>
      <c r="B13" s="46">
        <v>5</v>
      </c>
      <c r="C13" s="46"/>
      <c r="D13" s="46"/>
      <c r="E13" s="47" t="s">
        <v>59</v>
      </c>
      <c r="F13" s="47" t="s">
        <v>69</v>
      </c>
      <c r="G13" s="47" t="s">
        <v>110</v>
      </c>
      <c r="H13" s="47" t="s">
        <v>147</v>
      </c>
      <c r="I13" s="47" t="s">
        <v>171</v>
      </c>
      <c r="J13" s="47" t="s">
        <v>209</v>
      </c>
      <c r="K13" s="47" t="s">
        <v>211</v>
      </c>
      <c r="L13" s="49">
        <f t="shared" ref="L13" si="4">+IF(OR(K13="BGA",K13="FP",K13="TH"),1,IF($K$4*B13&lt;100,5,0))</f>
        <v>5</v>
      </c>
      <c r="M13" s="48">
        <f t="shared" ref="M13" si="5">+IF(AND(K13="",$K$4*B13&gt;100),0.05,0)</f>
        <v>0</v>
      </c>
      <c r="N13" s="49">
        <f t="shared" ref="N13" si="6">+ROUNDUP($K$4*B13*M13+L13,0)</f>
        <v>5</v>
      </c>
      <c r="O13" s="42">
        <f t="shared" ref="O13" si="7">+IF(OR(LEFT(I13&amp;"",1)="C",LEFT(I13&amp;"",1)="R"),ROUNDUP($K$4*B13+N13,-1),$K$4*B13+N13)</f>
        <v>25</v>
      </c>
    </row>
    <row r="14" spans="1:15" s="2" customFormat="1" ht="13" x14ac:dyDescent="0.25">
      <c r="A14" s="13"/>
      <c r="B14" s="46">
        <v>11</v>
      </c>
      <c r="C14" s="46"/>
      <c r="D14" s="46"/>
      <c r="E14" s="47" t="s">
        <v>59</v>
      </c>
      <c r="F14" s="47" t="s">
        <v>70</v>
      </c>
      <c r="G14" s="47" t="s">
        <v>111</v>
      </c>
      <c r="H14" s="47" t="s">
        <v>148</v>
      </c>
      <c r="I14" s="47" t="s">
        <v>172</v>
      </c>
      <c r="J14" s="47" t="s">
        <v>209</v>
      </c>
      <c r="K14" s="47" t="s">
        <v>211</v>
      </c>
      <c r="L14" s="49">
        <f>+IF(OR(K14="BGA",K14="FP",K14="TH"),1,IF($K$4*B14&lt;100,5,0))</f>
        <v>5</v>
      </c>
      <c r="M14" s="48">
        <f>+IF(AND(K14="",$K$4*B14&gt;100),0.05,0)</f>
        <v>0</v>
      </c>
      <c r="N14" s="49">
        <f>+ROUNDUP($K$4*B14*M14+L14,0)</f>
        <v>5</v>
      </c>
      <c r="O14" s="42">
        <f>+IF(OR(LEFT(I14&amp;"",1)="C",LEFT(I14&amp;"",1)="R"),ROUNDUP($K$4*B14+N14,-1),$K$4*B14+N14)</f>
        <v>49</v>
      </c>
    </row>
    <row r="15" spans="1:15" s="2" customFormat="1" ht="13" x14ac:dyDescent="0.25">
      <c r="A15" s="13"/>
      <c r="B15" s="46">
        <v>8</v>
      </c>
      <c r="C15" s="46" t="s">
        <v>30</v>
      </c>
      <c r="D15" s="46" t="s">
        <v>43</v>
      </c>
      <c r="E15" s="47" t="s">
        <v>60</v>
      </c>
      <c r="F15" s="47" t="s">
        <v>71</v>
      </c>
      <c r="G15" s="47" t="s">
        <v>112</v>
      </c>
      <c r="H15" s="47" t="s">
        <v>112</v>
      </c>
      <c r="I15" s="47" t="s">
        <v>173</v>
      </c>
      <c r="J15" s="47" t="s">
        <v>209</v>
      </c>
      <c r="K15" s="47" t="s">
        <v>211</v>
      </c>
      <c r="L15" s="49">
        <f t="shared" ref="L15:L17" si="8">+IF(OR(K15="BGA",K15="FP",K15="TH"),1,IF($K$4*B15&lt;100,5,0))</f>
        <v>5</v>
      </c>
      <c r="M15" s="48">
        <f t="shared" ref="M15:M17" si="9">+IF(AND(K15="",$K$4*B15&gt;100),0.05,0)</f>
        <v>0</v>
      </c>
      <c r="N15" s="49">
        <f t="shared" ref="N15:N17" si="10">+ROUNDUP($K$4*B15*M15+L15,0)</f>
        <v>5</v>
      </c>
      <c r="O15" s="42">
        <f t="shared" ref="O15:O17" si="11">+IF(OR(LEFT(I15&amp;"",1)="C",LEFT(I15&amp;"",1)="R"),ROUNDUP($K$4*B15+N15,-1),$K$4*B15+N15)</f>
        <v>37</v>
      </c>
    </row>
    <row r="16" spans="1:15" s="2" customFormat="1" ht="13" x14ac:dyDescent="0.25">
      <c r="A16" s="13"/>
      <c r="B16" s="46">
        <v>8</v>
      </c>
      <c r="C16" s="46" t="s">
        <v>30</v>
      </c>
      <c r="D16" s="46" t="s">
        <v>44</v>
      </c>
      <c r="E16" s="47" t="s">
        <v>60</v>
      </c>
      <c r="F16" s="47" t="s">
        <v>72</v>
      </c>
      <c r="G16" s="47" t="s">
        <v>113</v>
      </c>
      <c r="H16" s="47" t="s">
        <v>113</v>
      </c>
      <c r="I16" s="47" t="s">
        <v>174</v>
      </c>
      <c r="J16" s="47" t="s">
        <v>209</v>
      </c>
      <c r="K16" s="47" t="s">
        <v>211</v>
      </c>
      <c r="L16" s="49">
        <f>+IF(OR(K16="BGA",K16="FP",K16="TH"),1,IF($K$4*B16&lt;100,5,0))</f>
        <v>5</v>
      </c>
      <c r="M16" s="48">
        <f>+IF(AND(K16="",$K$4*B16&gt;100),0.05,0)</f>
        <v>0</v>
      </c>
      <c r="N16" s="49">
        <f>+ROUNDUP($K$4*B16*M16+L16,0)</f>
        <v>5</v>
      </c>
      <c r="O16" s="42">
        <f>+IF(OR(LEFT(I16&amp;"",1)="C",LEFT(I16&amp;"",1)="R"),ROUNDUP($K$4*B16+N16,-1),$K$4*B16+N16)</f>
        <v>37</v>
      </c>
    </row>
    <row r="17" spans="1:15" s="2" customFormat="1" ht="13" x14ac:dyDescent="0.25">
      <c r="A17" s="13"/>
      <c r="B17" s="46">
        <v>2</v>
      </c>
      <c r="C17" s="46" t="s">
        <v>31</v>
      </c>
      <c r="D17" s="46" t="s">
        <v>45</v>
      </c>
      <c r="E17" s="47" t="s">
        <v>60</v>
      </c>
      <c r="F17" s="47" t="s">
        <v>73</v>
      </c>
      <c r="G17" s="47" t="s">
        <v>114</v>
      </c>
      <c r="H17" s="47" t="s">
        <v>149</v>
      </c>
      <c r="I17" s="47" t="s">
        <v>175</v>
      </c>
      <c r="J17" s="47" t="s">
        <v>209</v>
      </c>
      <c r="K17" s="47" t="s">
        <v>211</v>
      </c>
      <c r="L17" s="49">
        <f t="shared" ref="L17" si="12">+IF(OR(K17="BGA",K17="FP",K17="TH"),1,IF($K$4*B17&lt;100,5,0))</f>
        <v>5</v>
      </c>
      <c r="M17" s="48">
        <f t="shared" ref="M17" si="13">+IF(AND(K17="",$K$4*B17&gt;100),0.05,0)</f>
        <v>0</v>
      </c>
      <c r="N17" s="49">
        <f t="shared" ref="N17" si="14">+ROUNDUP($K$4*B17*M17+L17,0)</f>
        <v>5</v>
      </c>
      <c r="O17" s="42">
        <f t="shared" ref="O17" si="15">+IF(OR(LEFT(I17&amp;"",1)="C",LEFT(I17&amp;"",1)="R"),ROUNDUP($K$4*B17+N17,-1),$K$4*B17+N17)</f>
        <v>13</v>
      </c>
    </row>
    <row r="18" spans="1:15" s="2" customFormat="1" ht="13" x14ac:dyDescent="0.25">
      <c r="A18" s="13"/>
      <c r="B18" s="46">
        <v>1</v>
      </c>
      <c r="C18" s="46" t="s">
        <v>32</v>
      </c>
      <c r="D18" s="46" t="s">
        <v>46</v>
      </c>
      <c r="E18" s="47" t="s">
        <v>61</v>
      </c>
      <c r="F18" s="47" t="s">
        <v>74</v>
      </c>
      <c r="G18" s="47" t="s">
        <v>115</v>
      </c>
      <c r="H18" s="47" t="s">
        <v>150</v>
      </c>
      <c r="I18" s="47" t="s">
        <v>176</v>
      </c>
      <c r="J18" s="47" t="s">
        <v>209</v>
      </c>
      <c r="K18" s="47" t="s">
        <v>211</v>
      </c>
      <c r="L18" s="49">
        <f>+IF(OR(K18="BGA",K18="FP",K18="TH"),1,IF($K$4*B18&lt;100,5,0))</f>
        <v>5</v>
      </c>
      <c r="M18" s="48">
        <f>+IF(AND(K18="",$K$4*B18&gt;100),0.05,0)</f>
        <v>0</v>
      </c>
      <c r="N18" s="49">
        <f>+ROUNDUP($K$4*B18*M18+L18,0)</f>
        <v>5</v>
      </c>
      <c r="O18" s="42">
        <f>+IF(OR(LEFT(I18&amp;"",1)="C",LEFT(I18&amp;"",1)="R"),ROUNDUP($K$4*B18+N18,-1),$K$4*B18+N18)</f>
        <v>10</v>
      </c>
    </row>
    <row r="19" spans="1:15" s="2" customFormat="1" ht="13" x14ac:dyDescent="0.25">
      <c r="A19" s="13"/>
      <c r="B19" s="46">
        <v>2</v>
      </c>
      <c r="C19" s="46" t="s">
        <v>33</v>
      </c>
      <c r="D19" s="46" t="s">
        <v>47</v>
      </c>
      <c r="E19" s="47" t="s">
        <v>60</v>
      </c>
      <c r="F19" s="47" t="s">
        <v>75</v>
      </c>
      <c r="G19" s="47" t="s">
        <v>116</v>
      </c>
      <c r="H19" s="47" t="s">
        <v>151</v>
      </c>
      <c r="I19" s="47" t="s">
        <v>177</v>
      </c>
      <c r="J19" s="47" t="s">
        <v>209</v>
      </c>
      <c r="K19" s="47" t="s">
        <v>211</v>
      </c>
      <c r="L19" s="49">
        <f t="shared" ref="L19:L25" si="16">+IF(OR(K19="BGA",K19="FP",K19="TH"),1,IF($K$4*B19&lt;100,5,0))</f>
        <v>5</v>
      </c>
      <c r="M19" s="48">
        <f t="shared" ref="M19:M25" si="17">+IF(AND(K19="",$K$4*B19&gt;100),0.05,0)</f>
        <v>0</v>
      </c>
      <c r="N19" s="49">
        <f t="shared" ref="N19:N25" si="18">+ROUNDUP($K$4*B19*M19+L19,0)</f>
        <v>5</v>
      </c>
      <c r="O19" s="42">
        <f t="shared" ref="O19:O25" si="19">+IF(OR(LEFT(I19&amp;"",1)="C",LEFT(I19&amp;"",1)="R"),ROUNDUP($K$4*B19+N19,-1),$K$4*B19+N19)</f>
        <v>13</v>
      </c>
    </row>
    <row r="20" spans="1:15" s="2" customFormat="1" ht="13" x14ac:dyDescent="0.25">
      <c r="A20" s="13"/>
      <c r="B20" s="46">
        <v>1</v>
      </c>
      <c r="C20" s="46"/>
      <c r="D20" s="46"/>
      <c r="E20" s="47" t="s">
        <v>62</v>
      </c>
      <c r="F20" s="47" t="s">
        <v>76</v>
      </c>
      <c r="G20" s="47" t="s">
        <v>117</v>
      </c>
      <c r="H20" s="47" t="s">
        <v>152</v>
      </c>
      <c r="I20" s="47" t="s">
        <v>178</v>
      </c>
      <c r="J20" s="47" t="s">
        <v>209</v>
      </c>
      <c r="K20" s="47" t="s">
        <v>211</v>
      </c>
      <c r="L20" s="49">
        <f>+IF(OR(K20="BGA",K20="FP",K20="TH"),1,IF($K$4*B20&lt;100,5,0))</f>
        <v>5</v>
      </c>
      <c r="M20" s="48">
        <f>+IF(AND(K20="",$K$4*B20&gt;100),0.05,0)</f>
        <v>0</v>
      </c>
      <c r="N20" s="49">
        <f>+ROUNDUP($K$4*B20*M20+L20,0)</f>
        <v>5</v>
      </c>
      <c r="O20" s="42">
        <f>+IF(OR(LEFT(I20&amp;"",1)="C",LEFT(I20&amp;"",1)="R"),ROUNDUP($K$4*B20+N20,-1),$K$4*B20+N20)</f>
        <v>9</v>
      </c>
    </row>
    <row r="21" spans="1:15" s="2" customFormat="1" ht="13" x14ac:dyDescent="0.25">
      <c r="A21" s="13"/>
      <c r="B21" s="46">
        <v>3</v>
      </c>
      <c r="C21" s="46" t="s">
        <v>34</v>
      </c>
      <c r="D21" s="46" t="s">
        <v>48</v>
      </c>
      <c r="E21" s="47" t="s">
        <v>60</v>
      </c>
      <c r="F21" s="47" t="s">
        <v>77</v>
      </c>
      <c r="G21" s="47" t="s">
        <v>118</v>
      </c>
      <c r="H21" s="47" t="s">
        <v>118</v>
      </c>
      <c r="I21" s="47" t="s">
        <v>179</v>
      </c>
      <c r="J21" s="47" t="s">
        <v>209</v>
      </c>
      <c r="K21" s="47" t="s">
        <v>211</v>
      </c>
      <c r="L21" s="49">
        <f t="shared" ref="L21" si="20">+IF(OR(K21="BGA",K21="FP",K21="TH"),1,IF($K$4*B21&lt;100,5,0))</f>
        <v>5</v>
      </c>
      <c r="M21" s="48">
        <f t="shared" ref="M21" si="21">+IF(AND(K21="",$K$4*B21&gt;100),0.05,0)</f>
        <v>0</v>
      </c>
      <c r="N21" s="49">
        <f t="shared" ref="N21" si="22">+ROUNDUP($K$4*B21*M21+L21,0)</f>
        <v>5</v>
      </c>
      <c r="O21" s="42">
        <f t="shared" ref="O21" si="23">+IF(OR(LEFT(I21&amp;"",1)="C",LEFT(I21&amp;"",1)="R"),ROUNDUP($K$4*B21+N21,-1),$K$4*B21+N21)</f>
        <v>17</v>
      </c>
    </row>
    <row r="22" spans="1:15" s="2" customFormat="1" ht="13" x14ac:dyDescent="0.25">
      <c r="A22" s="13"/>
      <c r="B22" s="46">
        <v>4</v>
      </c>
      <c r="C22" s="46" t="s">
        <v>35</v>
      </c>
      <c r="D22" s="46">
        <v>9121</v>
      </c>
      <c r="E22" s="47" t="s">
        <v>60</v>
      </c>
      <c r="F22" s="47" t="s">
        <v>78</v>
      </c>
      <c r="G22" s="47" t="s">
        <v>119</v>
      </c>
      <c r="H22" s="47" t="s">
        <v>119</v>
      </c>
      <c r="I22" s="47" t="s">
        <v>180</v>
      </c>
      <c r="J22" s="47" t="s">
        <v>209</v>
      </c>
      <c r="K22" s="47" t="s">
        <v>211</v>
      </c>
      <c r="L22" s="49">
        <f>+IF(OR(K22="BGA",K22="FP",K22="TH"),1,IF($K$4*B22&lt;100,5,0))</f>
        <v>5</v>
      </c>
      <c r="M22" s="48">
        <f>+IF(AND(K22="",$K$4*B22&gt;100),0.05,0)</f>
        <v>0</v>
      </c>
      <c r="N22" s="49">
        <f>+ROUNDUP($K$4*B22*M22+L22,0)</f>
        <v>5</v>
      </c>
      <c r="O22" s="42">
        <f>+IF(OR(LEFT(I22&amp;"",1)="C",LEFT(I22&amp;"",1)="R"),ROUNDUP($K$4*B22+N22,-1),$K$4*B22+N22)</f>
        <v>21</v>
      </c>
    </row>
    <row r="23" spans="1:15" s="2" customFormat="1" ht="13" x14ac:dyDescent="0.25">
      <c r="A23" s="13"/>
      <c r="B23" s="46">
        <v>2</v>
      </c>
      <c r="C23" s="46" t="s">
        <v>36</v>
      </c>
      <c r="D23" s="46" t="s">
        <v>49</v>
      </c>
      <c r="E23" s="47" t="s">
        <v>60</v>
      </c>
      <c r="F23" s="47" t="s">
        <v>79</v>
      </c>
      <c r="G23" s="47" t="s">
        <v>120</v>
      </c>
      <c r="H23" s="47" t="s">
        <v>153</v>
      </c>
      <c r="I23" s="47" t="s">
        <v>181</v>
      </c>
      <c r="J23" s="47" t="s">
        <v>209</v>
      </c>
      <c r="K23" s="47" t="s">
        <v>211</v>
      </c>
      <c r="L23" s="49">
        <f t="shared" ref="L23:L25" si="24">+IF(OR(K23="BGA",K23="FP",K23="TH"),1,IF($K$4*B23&lt;100,5,0))</f>
        <v>5</v>
      </c>
      <c r="M23" s="48">
        <f t="shared" ref="M23:M25" si="25">+IF(AND(K23="",$K$4*B23&gt;100),0.05,0)</f>
        <v>0</v>
      </c>
      <c r="N23" s="49">
        <f t="shared" ref="N23:N25" si="26">+ROUNDUP($K$4*B23*M23+L23,0)</f>
        <v>5</v>
      </c>
      <c r="O23" s="42">
        <f t="shared" ref="O23:O25" si="27">+IF(OR(LEFT(I23&amp;"",1)="C",LEFT(I23&amp;"",1)="R"),ROUNDUP($K$4*B23+N23,-1),$K$4*B23+N23)</f>
        <v>13</v>
      </c>
    </row>
    <row r="24" spans="1:15" s="2" customFormat="1" ht="13" x14ac:dyDescent="0.25">
      <c r="A24" s="13"/>
      <c r="B24" s="46">
        <v>2</v>
      </c>
      <c r="C24" s="46" t="s">
        <v>37</v>
      </c>
      <c r="D24" s="46" t="s">
        <v>50</v>
      </c>
      <c r="E24" s="47" t="s">
        <v>63</v>
      </c>
      <c r="F24" s="47" t="s">
        <v>80</v>
      </c>
      <c r="G24" s="47" t="s">
        <v>50</v>
      </c>
      <c r="H24" s="47" t="s">
        <v>154</v>
      </c>
      <c r="I24" s="47" t="s">
        <v>182</v>
      </c>
      <c r="J24" s="47" t="s">
        <v>209</v>
      </c>
      <c r="K24" s="47" t="s">
        <v>211</v>
      </c>
      <c r="L24" s="49">
        <f>+IF(OR(K24="BGA",K24="FP",K24="TH"),1,IF($K$4*B24&lt;100,5,0))</f>
        <v>5</v>
      </c>
      <c r="M24" s="48">
        <f>+IF(AND(K24="",$K$4*B24&gt;100),0.05,0)</f>
        <v>0</v>
      </c>
      <c r="N24" s="49">
        <f>+ROUNDUP($K$4*B24*M24+L24,0)</f>
        <v>5</v>
      </c>
      <c r="O24" s="42">
        <f>+IF(OR(LEFT(I24&amp;"",1)="C",LEFT(I24&amp;"",1)="R"),ROUNDUP($K$4*B24+N24,-1),$K$4*B24+N24)</f>
        <v>13</v>
      </c>
    </row>
    <row r="25" spans="1:15" s="2" customFormat="1" ht="13" x14ac:dyDescent="0.25">
      <c r="A25" s="13"/>
      <c r="B25" s="46">
        <v>16</v>
      </c>
      <c r="C25" s="46" t="s">
        <v>30</v>
      </c>
      <c r="D25" s="46">
        <v>330620</v>
      </c>
      <c r="E25" s="47" t="s">
        <v>60</v>
      </c>
      <c r="F25" s="47" t="s">
        <v>81</v>
      </c>
      <c r="G25" s="47" t="s">
        <v>121</v>
      </c>
      <c r="H25" s="47" t="s">
        <v>155</v>
      </c>
      <c r="I25" s="47" t="s">
        <v>183</v>
      </c>
      <c r="J25" s="47" t="s">
        <v>209</v>
      </c>
      <c r="K25" s="47" t="s">
        <v>211</v>
      </c>
      <c r="L25" s="49">
        <f t="shared" ref="L25" si="28">+IF(OR(K25="BGA",K25="FP",K25="TH"),1,IF($K$4*B25&lt;100,5,0))</f>
        <v>5</v>
      </c>
      <c r="M25" s="48">
        <f t="shared" ref="M25" si="29">+IF(AND(K25="",$K$4*B25&gt;100),0.05,0)</f>
        <v>0</v>
      </c>
      <c r="N25" s="49">
        <f t="shared" ref="N25" si="30">+ROUNDUP($K$4*B25*M25+L25,0)</f>
        <v>5</v>
      </c>
      <c r="O25" s="42">
        <f t="shared" ref="O25" si="31">+IF(OR(LEFT(I25&amp;"",1)="C",LEFT(I25&amp;"",1)="R"),ROUNDUP($K$4*B25+N25,-1),$K$4*B25+N25)</f>
        <v>69</v>
      </c>
    </row>
    <row r="26" spans="1:15" s="2" customFormat="1" ht="13" x14ac:dyDescent="0.25">
      <c r="A26" s="13"/>
      <c r="B26" s="46">
        <v>2</v>
      </c>
      <c r="C26" s="46" t="s">
        <v>31</v>
      </c>
      <c r="D26" s="46" t="s">
        <v>51</v>
      </c>
      <c r="E26" s="47" t="s">
        <v>60</v>
      </c>
      <c r="F26" s="47" t="s">
        <v>82</v>
      </c>
      <c r="G26" s="47" t="s">
        <v>122</v>
      </c>
      <c r="H26" s="47" t="s">
        <v>156</v>
      </c>
      <c r="I26" s="47" t="s">
        <v>184</v>
      </c>
      <c r="J26" s="47" t="s">
        <v>209</v>
      </c>
      <c r="K26" s="47" t="s">
        <v>211</v>
      </c>
      <c r="L26" s="49">
        <f>+IF(OR(K26="BGA",K26="FP",K26="TH"),1,IF($K$4*B26&lt;100,5,0))</f>
        <v>5</v>
      </c>
      <c r="M26" s="48">
        <f>+IF(AND(K26="",$K$4*B26&gt;100),0.05,0)</f>
        <v>0</v>
      </c>
      <c r="N26" s="49">
        <f>+ROUNDUP($K$4*B26*M26+L26,0)</f>
        <v>5</v>
      </c>
      <c r="O26" s="42">
        <f>+IF(OR(LEFT(I26&amp;"",1)="C",LEFT(I26&amp;"",1)="R"),ROUNDUP($K$4*B26+N26,-1),$K$4*B26+N26)</f>
        <v>13</v>
      </c>
    </row>
    <row r="27" spans="1:15" s="2" customFormat="1" ht="13" x14ac:dyDescent="0.25">
      <c r="A27" s="13"/>
      <c r="B27" s="46">
        <v>1</v>
      </c>
      <c r="C27" s="46" t="s">
        <v>35</v>
      </c>
      <c r="D27" s="46">
        <v>2210</v>
      </c>
      <c r="E27" s="47" t="s">
        <v>60</v>
      </c>
      <c r="F27" s="47" t="s">
        <v>83</v>
      </c>
      <c r="G27" s="47" t="s">
        <v>123</v>
      </c>
      <c r="H27" s="47" t="s">
        <v>157</v>
      </c>
      <c r="I27" s="47" t="s">
        <v>185</v>
      </c>
      <c r="J27" s="47" t="s">
        <v>209</v>
      </c>
      <c r="K27" s="47" t="s">
        <v>211</v>
      </c>
      <c r="L27" s="49">
        <f t="shared" ref="L27:L41" si="32">+IF(OR(K27="BGA",K27="FP",K27="TH"),1,IF($K$4*B27&lt;100,5,0))</f>
        <v>5</v>
      </c>
      <c r="M27" s="48">
        <f t="shared" ref="M27:M41" si="33">+IF(AND(K27="",$K$4*B27&gt;100),0.05,0)</f>
        <v>0</v>
      </c>
      <c r="N27" s="49">
        <f t="shared" ref="N27:N41" si="34">+ROUNDUP($K$4*B27*M27+L27,0)</f>
        <v>5</v>
      </c>
      <c r="O27" s="42">
        <f t="shared" ref="O27:O41" si="35">+IF(OR(LEFT(I27&amp;"",1)="C",LEFT(I27&amp;"",1)="R"),ROUNDUP($K$4*B27+N27,-1),$K$4*B27+N27)</f>
        <v>9</v>
      </c>
    </row>
    <row r="28" spans="1:15" s="2" customFormat="1" ht="13" x14ac:dyDescent="0.25">
      <c r="A28" s="13"/>
      <c r="B28" s="46">
        <v>4</v>
      </c>
      <c r="C28" s="46" t="s">
        <v>35</v>
      </c>
      <c r="D28" s="46" t="s">
        <v>52</v>
      </c>
      <c r="E28" s="47" t="s">
        <v>60</v>
      </c>
      <c r="F28" s="47" t="s">
        <v>84</v>
      </c>
      <c r="G28" s="47" t="s">
        <v>124</v>
      </c>
      <c r="H28" s="47" t="s">
        <v>158</v>
      </c>
      <c r="I28" s="47" t="s">
        <v>186</v>
      </c>
      <c r="J28" s="47" t="s">
        <v>209</v>
      </c>
      <c r="K28" s="47" t="s">
        <v>211</v>
      </c>
      <c r="L28" s="49">
        <f>+IF(OR(K28="BGA",K28="FP",K28="TH"),1,IF($K$4*B28&lt;100,5,0))</f>
        <v>5</v>
      </c>
      <c r="M28" s="48">
        <f>+IF(AND(K28="",$K$4*B28&gt;100),0.05,0)</f>
        <v>0</v>
      </c>
      <c r="N28" s="49">
        <f>+ROUNDUP($K$4*B28*M28+L28,0)</f>
        <v>5</v>
      </c>
      <c r="O28" s="42">
        <f>+IF(OR(LEFT(I28&amp;"",1)="C",LEFT(I28&amp;"",1)="R"),ROUNDUP($K$4*B28+N28,-1),$K$4*B28+N28)</f>
        <v>21</v>
      </c>
    </row>
    <row r="29" spans="1:15" s="2" customFormat="1" ht="13" x14ac:dyDescent="0.25">
      <c r="A29" s="13"/>
      <c r="B29" s="46">
        <v>2</v>
      </c>
      <c r="C29" s="46"/>
      <c r="D29" s="46"/>
      <c r="E29" s="47" t="s">
        <v>62</v>
      </c>
      <c r="F29" s="47" t="s">
        <v>85</v>
      </c>
      <c r="G29" s="47" t="s">
        <v>125</v>
      </c>
      <c r="H29" s="47" t="s">
        <v>159</v>
      </c>
      <c r="I29" s="47" t="s">
        <v>187</v>
      </c>
      <c r="J29" s="47" t="s">
        <v>209</v>
      </c>
      <c r="K29" s="47" t="s">
        <v>211</v>
      </c>
      <c r="L29" s="49">
        <f t="shared" ref="L29" si="36">+IF(OR(K29="BGA",K29="FP",K29="TH"),1,IF($K$4*B29&lt;100,5,0))</f>
        <v>5</v>
      </c>
      <c r="M29" s="48">
        <f t="shared" ref="M29" si="37">+IF(AND(K29="",$K$4*B29&gt;100),0.05,0)</f>
        <v>0</v>
      </c>
      <c r="N29" s="49">
        <f t="shared" ref="N29" si="38">+ROUNDUP($K$4*B29*M29+L29,0)</f>
        <v>5</v>
      </c>
      <c r="O29" s="42">
        <f t="shared" ref="O29" si="39">+IF(OR(LEFT(I29&amp;"",1)="C",LEFT(I29&amp;"",1)="R"),ROUNDUP($K$4*B29+N29,-1),$K$4*B29+N29)</f>
        <v>13</v>
      </c>
    </row>
    <row r="30" spans="1:15" s="2" customFormat="1" ht="13" x14ac:dyDescent="0.25">
      <c r="A30" s="13"/>
      <c r="B30" s="46">
        <v>1</v>
      </c>
      <c r="C30" s="46"/>
      <c r="D30" s="46"/>
      <c r="E30" s="47" t="s">
        <v>62</v>
      </c>
      <c r="F30" s="47" t="s">
        <v>86</v>
      </c>
      <c r="G30" s="47" t="s">
        <v>126</v>
      </c>
      <c r="H30" s="47" t="s">
        <v>159</v>
      </c>
      <c r="I30" s="47" t="s">
        <v>188</v>
      </c>
      <c r="J30" s="47" t="s">
        <v>209</v>
      </c>
      <c r="K30" s="47" t="s">
        <v>211</v>
      </c>
      <c r="L30" s="49">
        <f>+IF(OR(K30="BGA",K30="FP",K30="TH"),1,IF($K$4*B30&lt;100,5,0))</f>
        <v>5</v>
      </c>
      <c r="M30" s="48">
        <f>+IF(AND(K30="",$K$4*B30&gt;100),0.05,0)</f>
        <v>0</v>
      </c>
      <c r="N30" s="49">
        <f>+ROUNDUP($K$4*B30*M30+L30,0)</f>
        <v>5</v>
      </c>
      <c r="O30" s="42">
        <f>+IF(OR(LEFT(I30&amp;"",1)="C",LEFT(I30&amp;"",1)="R"),ROUNDUP($K$4*B30+N30,-1),$K$4*B30+N30)</f>
        <v>9</v>
      </c>
    </row>
    <row r="31" spans="1:15" s="2" customFormat="1" ht="13" x14ac:dyDescent="0.25">
      <c r="A31" s="13"/>
      <c r="B31" s="46">
        <v>1</v>
      </c>
      <c r="C31" s="46"/>
      <c r="D31" s="46"/>
      <c r="E31" s="47" t="s">
        <v>62</v>
      </c>
      <c r="F31" s="47" t="s">
        <v>87</v>
      </c>
      <c r="G31" s="47" t="s">
        <v>127</v>
      </c>
      <c r="H31" s="47" t="s">
        <v>159</v>
      </c>
      <c r="I31" s="47" t="s">
        <v>189</v>
      </c>
      <c r="J31" s="47" t="s">
        <v>209</v>
      </c>
      <c r="K31" s="47" t="s">
        <v>211</v>
      </c>
      <c r="L31" s="49">
        <f t="shared" ref="L31:L33" si="40">+IF(OR(K31="BGA",K31="FP",K31="TH"),1,IF($K$4*B31&lt;100,5,0))</f>
        <v>5</v>
      </c>
      <c r="M31" s="48">
        <f t="shared" ref="M31:M33" si="41">+IF(AND(K31="",$K$4*B31&gt;100),0.05,0)</f>
        <v>0</v>
      </c>
      <c r="N31" s="49">
        <f t="shared" ref="N31:N33" si="42">+ROUNDUP($K$4*B31*M31+L31,0)</f>
        <v>5</v>
      </c>
      <c r="O31" s="42">
        <f t="shared" ref="O31:O33" si="43">+IF(OR(LEFT(I31&amp;"",1)="C",LEFT(I31&amp;"",1)="R"),ROUNDUP($K$4*B31+N31,-1),$K$4*B31+N31)</f>
        <v>9</v>
      </c>
    </row>
    <row r="32" spans="1:15" s="2" customFormat="1" ht="13" x14ac:dyDescent="0.25">
      <c r="A32" s="13"/>
      <c r="B32" s="46">
        <v>1</v>
      </c>
      <c r="C32" s="46"/>
      <c r="D32" s="46"/>
      <c r="E32" s="47" t="s">
        <v>62</v>
      </c>
      <c r="F32" s="47" t="s">
        <v>88</v>
      </c>
      <c r="G32" s="47" t="s">
        <v>128</v>
      </c>
      <c r="H32" s="47" t="s">
        <v>159</v>
      </c>
      <c r="I32" s="47" t="s">
        <v>190</v>
      </c>
      <c r="J32" s="47" t="s">
        <v>209</v>
      </c>
      <c r="K32" s="47" t="s">
        <v>211</v>
      </c>
      <c r="L32" s="49">
        <f>+IF(OR(K32="BGA",K32="FP",K32="TH"),1,IF($K$4*B32&lt;100,5,0))</f>
        <v>5</v>
      </c>
      <c r="M32" s="48">
        <f>+IF(AND(K32="",$K$4*B32&gt;100),0.05,0)</f>
        <v>0</v>
      </c>
      <c r="N32" s="49">
        <f>+ROUNDUP($K$4*B32*M32+L32,0)</f>
        <v>5</v>
      </c>
      <c r="O32" s="42">
        <f>+IF(OR(LEFT(I32&amp;"",1)="C",LEFT(I32&amp;"",1)="R"),ROUNDUP($K$4*B32+N32,-1),$K$4*B32+N32)</f>
        <v>9</v>
      </c>
    </row>
    <row r="33" spans="1:15" s="2" customFormat="1" ht="13" x14ac:dyDescent="0.25">
      <c r="A33" s="13"/>
      <c r="B33" s="46">
        <v>1</v>
      </c>
      <c r="C33" s="46"/>
      <c r="D33" s="46"/>
      <c r="E33" s="47" t="s">
        <v>62</v>
      </c>
      <c r="F33" s="47" t="s">
        <v>89</v>
      </c>
      <c r="G33" s="47" t="s">
        <v>129</v>
      </c>
      <c r="H33" s="47" t="s">
        <v>159</v>
      </c>
      <c r="I33" s="47" t="s">
        <v>191</v>
      </c>
      <c r="J33" s="47" t="s">
        <v>209</v>
      </c>
      <c r="K33" s="47" t="s">
        <v>211</v>
      </c>
      <c r="L33" s="49">
        <f t="shared" ref="L33" si="44">+IF(OR(K33="BGA",K33="FP",K33="TH"),1,IF($K$4*B33&lt;100,5,0))</f>
        <v>5</v>
      </c>
      <c r="M33" s="48">
        <f t="shared" ref="M33" si="45">+IF(AND(K33="",$K$4*B33&gt;100),0.05,0)</f>
        <v>0</v>
      </c>
      <c r="N33" s="49">
        <f t="shared" ref="N33" si="46">+ROUNDUP($K$4*B33*M33+L33,0)</f>
        <v>5</v>
      </c>
      <c r="O33" s="42">
        <f t="shared" ref="O33" si="47">+IF(OR(LEFT(I33&amp;"",1)="C",LEFT(I33&amp;"",1)="R"),ROUNDUP($K$4*B33+N33,-1),$K$4*B33+N33)</f>
        <v>9</v>
      </c>
    </row>
    <row r="34" spans="1:15" s="2" customFormat="1" ht="20.5" x14ac:dyDescent="0.25">
      <c r="A34" s="13"/>
      <c r="B34" s="46">
        <v>1</v>
      </c>
      <c r="C34" s="46"/>
      <c r="D34" s="46"/>
      <c r="E34" s="47" t="s">
        <v>62</v>
      </c>
      <c r="F34" s="47" t="s">
        <v>90</v>
      </c>
      <c r="G34" s="47" t="s">
        <v>130</v>
      </c>
      <c r="H34" s="47" t="s">
        <v>159</v>
      </c>
      <c r="I34" s="47" t="s">
        <v>192</v>
      </c>
      <c r="J34" s="47" t="s">
        <v>209</v>
      </c>
      <c r="K34" s="47" t="s">
        <v>211</v>
      </c>
      <c r="L34" s="49">
        <f>+IF(OR(K34="BGA",K34="FP",K34="TH"),1,IF($K$4*B34&lt;100,5,0))</f>
        <v>5</v>
      </c>
      <c r="M34" s="48">
        <f>+IF(AND(K34="",$K$4*B34&gt;100),0.05,0)</f>
        <v>0</v>
      </c>
      <c r="N34" s="49">
        <f>+ROUNDUP($K$4*B34*M34+L34,0)</f>
        <v>5</v>
      </c>
      <c r="O34" s="42">
        <f>+IF(OR(LEFT(I34&amp;"",1)="C",LEFT(I34&amp;"",1)="R"),ROUNDUP($K$4*B34+N34,-1),$K$4*B34+N34)</f>
        <v>9</v>
      </c>
    </row>
    <row r="35" spans="1:15" s="2" customFormat="1" ht="30.5" x14ac:dyDescent="0.25">
      <c r="A35" s="13"/>
      <c r="B35" s="46">
        <v>1</v>
      </c>
      <c r="C35" s="46"/>
      <c r="D35" s="46"/>
      <c r="E35" s="47" t="s">
        <v>62</v>
      </c>
      <c r="F35" s="47" t="s">
        <v>91</v>
      </c>
      <c r="G35" s="47" t="s">
        <v>131</v>
      </c>
      <c r="H35" s="47" t="s">
        <v>159</v>
      </c>
      <c r="I35" s="47" t="s">
        <v>193</v>
      </c>
      <c r="J35" s="47" t="s">
        <v>209</v>
      </c>
      <c r="K35" s="47" t="s">
        <v>211</v>
      </c>
      <c r="L35" s="49">
        <f t="shared" ref="L35:L41" si="48">+IF(OR(K35="BGA",K35="FP",K35="TH"),1,IF($K$4*B35&lt;100,5,0))</f>
        <v>5</v>
      </c>
      <c r="M35" s="48">
        <f t="shared" ref="M35:M41" si="49">+IF(AND(K35="",$K$4*B35&gt;100),0.05,0)</f>
        <v>0</v>
      </c>
      <c r="N35" s="49">
        <f t="shared" ref="N35:N41" si="50">+ROUNDUP($K$4*B35*M35+L35,0)</f>
        <v>5</v>
      </c>
      <c r="O35" s="42">
        <f t="shared" ref="O35:O41" si="51">+IF(OR(LEFT(I35&amp;"",1)="C",LEFT(I35&amp;"",1)="R"),ROUNDUP($K$4*B35+N35,-1),$K$4*B35+N35)</f>
        <v>9</v>
      </c>
    </row>
    <row r="36" spans="1:15" s="2" customFormat="1" ht="13" x14ac:dyDescent="0.25">
      <c r="A36" s="13"/>
      <c r="B36" s="46">
        <v>1</v>
      </c>
      <c r="C36" s="46"/>
      <c r="D36" s="46"/>
      <c r="E36" s="47" t="s">
        <v>62</v>
      </c>
      <c r="F36" s="47" t="s">
        <v>92</v>
      </c>
      <c r="G36" s="47" t="s">
        <v>132</v>
      </c>
      <c r="H36" s="47" t="s">
        <v>159</v>
      </c>
      <c r="I36" s="47" t="s">
        <v>194</v>
      </c>
      <c r="J36" s="47" t="s">
        <v>209</v>
      </c>
      <c r="K36" s="47" t="s">
        <v>211</v>
      </c>
      <c r="L36" s="49">
        <f>+IF(OR(K36="BGA",K36="FP",K36="TH"),1,IF($K$4*B36&lt;100,5,0))</f>
        <v>5</v>
      </c>
      <c r="M36" s="48">
        <f>+IF(AND(K36="",$K$4*B36&gt;100),0.05,0)</f>
        <v>0</v>
      </c>
      <c r="N36" s="49">
        <f>+ROUNDUP($K$4*B36*M36+L36,0)</f>
        <v>5</v>
      </c>
      <c r="O36" s="42">
        <f>+IF(OR(LEFT(I36&amp;"",1)="C",LEFT(I36&amp;"",1)="R"),ROUNDUP($K$4*B36+N36,-1),$K$4*B36+N36)</f>
        <v>9</v>
      </c>
    </row>
    <row r="37" spans="1:15" s="2" customFormat="1" ht="13" x14ac:dyDescent="0.25">
      <c r="A37" s="13"/>
      <c r="B37" s="46">
        <v>1</v>
      </c>
      <c r="C37" s="46" t="s">
        <v>38</v>
      </c>
      <c r="D37" s="46" t="s">
        <v>53</v>
      </c>
      <c r="E37" s="47" t="s">
        <v>60</v>
      </c>
      <c r="F37" s="47" t="s">
        <v>93</v>
      </c>
      <c r="G37" s="47" t="s">
        <v>133</v>
      </c>
      <c r="H37" s="47" t="s">
        <v>160</v>
      </c>
      <c r="I37" s="47" t="s">
        <v>195</v>
      </c>
      <c r="J37" s="47" t="s">
        <v>209</v>
      </c>
      <c r="K37" s="47" t="s">
        <v>211</v>
      </c>
      <c r="L37" s="49">
        <f t="shared" ref="L37" si="52">+IF(OR(K37="BGA",K37="FP",K37="TH"),1,IF($K$4*B37&lt;100,5,0))</f>
        <v>5</v>
      </c>
      <c r="M37" s="48">
        <f t="shared" ref="M37" si="53">+IF(AND(K37="",$K$4*B37&gt;100),0.05,0)</f>
        <v>0</v>
      </c>
      <c r="N37" s="49">
        <f t="shared" ref="N37" si="54">+ROUNDUP($K$4*B37*M37+L37,0)</f>
        <v>5</v>
      </c>
      <c r="O37" s="42">
        <f t="shared" ref="O37" si="55">+IF(OR(LEFT(I37&amp;"",1)="C",LEFT(I37&amp;"",1)="R"),ROUNDUP($K$4*B37+N37,-1),$K$4*B37+N37)</f>
        <v>9</v>
      </c>
    </row>
    <row r="38" spans="1:15" s="2" customFormat="1" ht="13" x14ac:dyDescent="0.25">
      <c r="A38" s="13"/>
      <c r="B38" s="46">
        <v>2</v>
      </c>
      <c r="C38" s="46" t="s">
        <v>35</v>
      </c>
      <c r="D38" s="46">
        <v>9106</v>
      </c>
      <c r="E38" s="47" t="s">
        <v>60</v>
      </c>
      <c r="F38" s="47" t="s">
        <v>94</v>
      </c>
      <c r="G38" s="47" t="s">
        <v>134</v>
      </c>
      <c r="H38" s="47" t="s">
        <v>161</v>
      </c>
      <c r="I38" s="47" t="s">
        <v>196</v>
      </c>
      <c r="J38" s="47" t="s">
        <v>209</v>
      </c>
      <c r="K38" s="47" t="s">
        <v>211</v>
      </c>
      <c r="L38" s="49">
        <f>+IF(OR(K38="BGA",K38="FP",K38="TH"),1,IF($K$4*B38&lt;100,5,0))</f>
        <v>5</v>
      </c>
      <c r="M38" s="48">
        <f>+IF(AND(K38="",$K$4*B38&gt;100),0.05,0)</f>
        <v>0</v>
      </c>
      <c r="N38" s="49">
        <f>+ROUNDUP($K$4*B38*M38+L38,0)</f>
        <v>5</v>
      </c>
      <c r="O38" s="42">
        <f>+IF(OR(LEFT(I38&amp;"",1)="C",LEFT(I38&amp;"",1)="R"),ROUNDUP($K$4*B38+N38,-1),$K$4*B38+N38)</f>
        <v>13</v>
      </c>
    </row>
    <row r="39" spans="1:15" s="2" customFormat="1" ht="13" x14ac:dyDescent="0.25">
      <c r="A39" s="13"/>
      <c r="B39" s="46">
        <v>2</v>
      </c>
      <c r="C39" s="46" t="s">
        <v>30</v>
      </c>
      <c r="D39" s="46">
        <v>328970</v>
      </c>
      <c r="E39" s="47" t="s">
        <v>60</v>
      </c>
      <c r="F39" s="47" t="s">
        <v>95</v>
      </c>
      <c r="G39" s="47" t="s">
        <v>135</v>
      </c>
      <c r="H39" s="47" t="s">
        <v>135</v>
      </c>
      <c r="I39" s="47" t="s">
        <v>197</v>
      </c>
      <c r="J39" s="47" t="s">
        <v>209</v>
      </c>
      <c r="K39" s="47" t="s">
        <v>211</v>
      </c>
      <c r="L39" s="49">
        <f t="shared" ref="L39:L41" si="56">+IF(OR(K39="BGA",K39="FP",K39="TH"),1,IF($K$4*B39&lt;100,5,0))</f>
        <v>5</v>
      </c>
      <c r="M39" s="48">
        <f t="shared" ref="M39:M41" si="57">+IF(AND(K39="",$K$4*B39&gt;100),0.05,0)</f>
        <v>0</v>
      </c>
      <c r="N39" s="49">
        <f t="shared" ref="N39:N41" si="58">+ROUNDUP($K$4*B39*M39+L39,0)</f>
        <v>5</v>
      </c>
      <c r="O39" s="42">
        <f t="shared" ref="O39:O41" si="59">+IF(OR(LEFT(I39&amp;"",1)="C",LEFT(I39&amp;"",1)="R"),ROUNDUP($K$4*B39+N39,-1),$K$4*B39+N39)</f>
        <v>13</v>
      </c>
    </row>
    <row r="40" spans="1:15" s="2" customFormat="1" ht="13" x14ac:dyDescent="0.25">
      <c r="A40" s="13"/>
      <c r="B40" s="46">
        <v>1</v>
      </c>
      <c r="C40" s="46" t="s">
        <v>30</v>
      </c>
      <c r="D40" s="46">
        <v>31264</v>
      </c>
      <c r="E40" s="47" t="s">
        <v>60</v>
      </c>
      <c r="F40" s="47" t="s">
        <v>96</v>
      </c>
      <c r="G40" s="47" t="s">
        <v>136</v>
      </c>
      <c r="H40" s="47" t="s">
        <v>135</v>
      </c>
      <c r="I40" s="47" t="s">
        <v>198</v>
      </c>
      <c r="J40" s="47" t="s">
        <v>209</v>
      </c>
      <c r="K40" s="47" t="s">
        <v>211</v>
      </c>
      <c r="L40" s="49">
        <f>+IF(OR(K40="BGA",K40="FP",K40="TH"),1,IF($K$4*B40&lt;100,5,0))</f>
        <v>5</v>
      </c>
      <c r="M40" s="48">
        <f>+IF(AND(K40="",$K$4*B40&gt;100),0.05,0)</f>
        <v>0</v>
      </c>
      <c r="N40" s="49">
        <f>+ROUNDUP($K$4*B40*M40+L40,0)</f>
        <v>5</v>
      </c>
      <c r="O40" s="42">
        <f>+IF(OR(LEFT(I40&amp;"",1)="C",LEFT(I40&amp;"",1)="R"),ROUNDUP($K$4*B40+N40,-1),$K$4*B40+N40)</f>
        <v>9</v>
      </c>
    </row>
    <row r="41" spans="1:15" s="2" customFormat="1" ht="13" x14ac:dyDescent="0.25">
      <c r="A41" s="13"/>
      <c r="B41" s="46">
        <v>2</v>
      </c>
      <c r="C41" s="46"/>
      <c r="D41" s="46"/>
      <c r="E41" s="47" t="s">
        <v>64</v>
      </c>
      <c r="F41" s="47" t="s">
        <v>97</v>
      </c>
      <c r="G41" s="47" t="s">
        <v>137</v>
      </c>
      <c r="H41" s="47" t="s">
        <v>137</v>
      </c>
      <c r="I41" s="47" t="s">
        <v>199</v>
      </c>
      <c r="J41" s="47" t="s">
        <v>209</v>
      </c>
      <c r="K41" s="47" t="s">
        <v>211</v>
      </c>
      <c r="L41" s="49">
        <f t="shared" ref="L41" si="60">+IF(OR(K41="BGA",K41="FP",K41="TH"),1,IF($K$4*B41&lt;100,5,0))</f>
        <v>5</v>
      </c>
      <c r="M41" s="48">
        <f t="shared" ref="M41" si="61">+IF(AND(K41="",$K$4*B41&gt;100),0.05,0)</f>
        <v>0</v>
      </c>
      <c r="N41" s="49">
        <f t="shared" ref="N41" si="62">+ROUNDUP($K$4*B41*M41+L41,0)</f>
        <v>5</v>
      </c>
      <c r="O41" s="42">
        <f t="shared" ref="O41" si="63">+IF(OR(LEFT(I41&amp;"",1)="C",LEFT(I41&amp;"",1)="R"),ROUNDUP($K$4*B41+N41,-1),$K$4*B41+N41)</f>
        <v>13</v>
      </c>
    </row>
    <row r="42" spans="1:15" s="2" customFormat="1" ht="13" x14ac:dyDescent="0.25">
      <c r="A42" s="13"/>
      <c r="B42" s="46">
        <v>2</v>
      </c>
      <c r="C42" s="46" t="s">
        <v>37</v>
      </c>
      <c r="D42" s="46" t="s">
        <v>54</v>
      </c>
      <c r="E42" s="47" t="s">
        <v>63</v>
      </c>
      <c r="F42" s="47" t="s">
        <v>98</v>
      </c>
      <c r="G42" s="47" t="s">
        <v>138</v>
      </c>
      <c r="H42" s="47" t="s">
        <v>162</v>
      </c>
      <c r="I42" s="47" t="s">
        <v>200</v>
      </c>
      <c r="J42" s="47" t="s">
        <v>209</v>
      </c>
      <c r="K42" s="47" t="s">
        <v>211</v>
      </c>
      <c r="L42" s="49">
        <f>+IF(OR(K42="BGA",K42="FP",K42="TH"),1,IF($K$4*B42&lt;100,5,0))</f>
        <v>5</v>
      </c>
      <c r="M42" s="48">
        <f>+IF(AND(K42="",$K$4*B42&gt;100),0.05,0)</f>
        <v>0</v>
      </c>
      <c r="N42" s="49">
        <f>+ROUNDUP($K$4*B42*M42+L42,0)</f>
        <v>5</v>
      </c>
      <c r="O42" s="42">
        <f>+IF(OR(LEFT(I42&amp;"",1)="C",LEFT(I42&amp;"",1)="R"),ROUNDUP($K$4*B42+N42,-1),$K$4*B42+N42)</f>
        <v>13</v>
      </c>
    </row>
    <row r="43" spans="1:15" s="2" customFormat="1" ht="13" x14ac:dyDescent="0.25">
      <c r="A43" s="13"/>
      <c r="B43" s="46">
        <v>2</v>
      </c>
      <c r="C43" s="46"/>
      <c r="D43" s="46"/>
      <c r="E43" s="47" t="s">
        <v>64</v>
      </c>
      <c r="F43" s="47" t="s">
        <v>99</v>
      </c>
      <c r="G43" s="47" t="s">
        <v>139</v>
      </c>
      <c r="H43" s="47" t="s">
        <v>163</v>
      </c>
      <c r="I43" s="47" t="s">
        <v>201</v>
      </c>
      <c r="J43" s="47" t="s">
        <v>209</v>
      </c>
      <c r="K43" s="47" t="s">
        <v>211</v>
      </c>
      <c r="L43" s="49">
        <f t="shared" ref="L43:L49" si="64">+IF(OR(K43="BGA",K43="FP",K43="TH"),1,IF($K$4*B43&lt;100,5,0))</f>
        <v>5</v>
      </c>
      <c r="M43" s="48">
        <f t="shared" ref="M43:M49" si="65">+IF(AND(K43="",$K$4*B43&gt;100),0.05,0)</f>
        <v>0</v>
      </c>
      <c r="N43" s="49">
        <f t="shared" ref="N43:N49" si="66">+ROUNDUP($K$4*B43*M43+L43,0)</f>
        <v>5</v>
      </c>
      <c r="O43" s="42">
        <f t="shared" ref="O43:O49" si="67">+IF(OR(LEFT(I43&amp;"",1)="C",LEFT(I43&amp;"",1)="R"),ROUNDUP($K$4*B43+N43,-1),$K$4*B43+N43)</f>
        <v>13</v>
      </c>
    </row>
    <row r="44" spans="1:15" s="2" customFormat="1" ht="13" x14ac:dyDescent="0.25">
      <c r="A44" s="13"/>
      <c r="B44" s="46">
        <v>2</v>
      </c>
      <c r="C44" s="46"/>
      <c r="D44" s="46"/>
      <c r="E44" s="47" t="s">
        <v>64</v>
      </c>
      <c r="F44" s="47" t="s">
        <v>100</v>
      </c>
      <c r="G44" s="47" t="s">
        <v>139</v>
      </c>
      <c r="H44" s="47" t="s">
        <v>164</v>
      </c>
      <c r="I44" s="47" t="s">
        <v>202</v>
      </c>
      <c r="J44" s="47" t="s">
        <v>209</v>
      </c>
      <c r="K44" s="47" t="s">
        <v>211</v>
      </c>
      <c r="L44" s="49">
        <f>+IF(OR(K44="BGA",K44="FP",K44="TH"),1,IF($K$4*B44&lt;100,5,0))</f>
        <v>5</v>
      </c>
      <c r="M44" s="48">
        <f>+IF(AND(K44="",$K$4*B44&gt;100),0.05,0)</f>
        <v>0</v>
      </c>
      <c r="N44" s="49">
        <f>+ROUNDUP($K$4*B44*M44+L44,0)</f>
        <v>5</v>
      </c>
      <c r="O44" s="42">
        <f>+IF(OR(LEFT(I44&amp;"",1)="C",LEFT(I44&amp;"",1)="R"),ROUNDUP($K$4*B44+N44,-1),$K$4*B44+N44)</f>
        <v>13</v>
      </c>
    </row>
    <row r="45" spans="1:15" s="2" customFormat="1" ht="13" x14ac:dyDescent="0.25">
      <c r="A45" s="13"/>
      <c r="B45" s="46">
        <v>1</v>
      </c>
      <c r="C45" s="46" t="s">
        <v>39</v>
      </c>
      <c r="D45" s="46" t="s">
        <v>55</v>
      </c>
      <c r="E45" s="47" t="s">
        <v>60</v>
      </c>
      <c r="F45" s="47" t="s">
        <v>101</v>
      </c>
      <c r="G45" s="47" t="s">
        <v>139</v>
      </c>
      <c r="H45" s="47" t="s">
        <v>165</v>
      </c>
      <c r="I45" s="47" t="s">
        <v>203</v>
      </c>
      <c r="J45" s="47" t="s">
        <v>209</v>
      </c>
      <c r="K45" s="47" t="s">
        <v>211</v>
      </c>
      <c r="L45" s="49">
        <f t="shared" ref="L45" si="68">+IF(OR(K45="BGA",K45="FP",K45="TH"),1,IF($K$4*B45&lt;100,5,0))</f>
        <v>5</v>
      </c>
      <c r="M45" s="48">
        <f t="shared" ref="M45" si="69">+IF(AND(K45="",$K$4*B45&gt;100),0.05,0)</f>
        <v>0</v>
      </c>
      <c r="N45" s="49">
        <f t="shared" ref="N45" si="70">+ROUNDUP($K$4*B45*M45+L45,0)</f>
        <v>5</v>
      </c>
      <c r="O45" s="42">
        <f t="shared" ref="O45" si="71">+IF(OR(LEFT(I45&amp;"",1)="C",LEFT(I45&amp;"",1)="R"),ROUNDUP($K$4*B45+N45,-1),$K$4*B45+N45)</f>
        <v>9</v>
      </c>
    </row>
    <row r="46" spans="1:15" s="2" customFormat="1" ht="13" x14ac:dyDescent="0.25">
      <c r="A46" s="13"/>
      <c r="B46" s="46">
        <v>1</v>
      </c>
      <c r="C46" s="46" t="s">
        <v>34</v>
      </c>
      <c r="D46" s="46">
        <v>9508033</v>
      </c>
      <c r="E46" s="47" t="s">
        <v>60</v>
      </c>
      <c r="F46" s="47" t="s">
        <v>102</v>
      </c>
      <c r="G46" s="47" t="s">
        <v>140</v>
      </c>
      <c r="H46" s="47" t="s">
        <v>140</v>
      </c>
      <c r="I46" s="47" t="s">
        <v>204</v>
      </c>
      <c r="J46" s="47" t="s">
        <v>209</v>
      </c>
      <c r="K46" s="47" t="s">
        <v>211</v>
      </c>
      <c r="L46" s="49">
        <f>+IF(OR(K46="BGA",K46="FP",K46="TH"),1,IF($K$4*B46&lt;100,5,0))</f>
        <v>5</v>
      </c>
      <c r="M46" s="48">
        <f>+IF(AND(K46="",$K$4*B46&gt;100),0.05,0)</f>
        <v>0</v>
      </c>
      <c r="N46" s="49">
        <f>+ROUNDUP($K$4*B46*M46+L46,0)</f>
        <v>5</v>
      </c>
      <c r="O46" s="42">
        <f>+IF(OR(LEFT(I46&amp;"",1)="C",LEFT(I46&amp;"",1)="R"),ROUNDUP($K$4*B46+N46,-1),$K$4*B46+N46)</f>
        <v>9</v>
      </c>
    </row>
    <row r="47" spans="1:15" s="2" customFormat="1" ht="13" x14ac:dyDescent="0.25">
      <c r="A47" s="13"/>
      <c r="B47" s="46">
        <v>1</v>
      </c>
      <c r="C47" s="46" t="s">
        <v>34</v>
      </c>
      <c r="D47" s="46" t="s">
        <v>56</v>
      </c>
      <c r="E47" s="47" t="s">
        <v>60</v>
      </c>
      <c r="F47" s="47" t="s">
        <v>103</v>
      </c>
      <c r="G47" s="47" t="s">
        <v>141</v>
      </c>
      <c r="H47" s="47" t="s">
        <v>140</v>
      </c>
      <c r="I47" s="47" t="s">
        <v>205</v>
      </c>
      <c r="J47" s="47" t="s">
        <v>209</v>
      </c>
      <c r="K47" s="47" t="s">
        <v>211</v>
      </c>
      <c r="L47" s="49">
        <f t="shared" ref="L47:L49" si="72">+IF(OR(K47="BGA",K47="FP",K47="TH"),1,IF($K$4*B47&lt;100,5,0))</f>
        <v>5</v>
      </c>
      <c r="M47" s="48">
        <f t="shared" ref="M47:M49" si="73">+IF(AND(K47="",$K$4*B47&gt;100),0.05,0)</f>
        <v>0</v>
      </c>
      <c r="N47" s="49">
        <f t="shared" ref="N47:N49" si="74">+ROUNDUP($K$4*B47*M47+L47,0)</f>
        <v>5</v>
      </c>
      <c r="O47" s="42">
        <f t="shared" ref="O47:O49" si="75">+IF(OR(LEFT(I47&amp;"",1)="C",LEFT(I47&amp;"",1)="R"),ROUNDUP($K$4*B47+N47,-1),$K$4*B47+N47)</f>
        <v>9</v>
      </c>
    </row>
    <row r="48" spans="1:15" s="2" customFormat="1" ht="13" x14ac:dyDescent="0.25">
      <c r="A48" s="13"/>
      <c r="B48" s="46">
        <v>2</v>
      </c>
      <c r="C48" s="46" t="s">
        <v>40</v>
      </c>
      <c r="D48" s="46">
        <v>1943820000</v>
      </c>
      <c r="E48" s="47" t="s">
        <v>60</v>
      </c>
      <c r="F48" s="47" t="s">
        <v>104</v>
      </c>
      <c r="G48" s="47" t="s">
        <v>140</v>
      </c>
      <c r="H48" s="47" t="s">
        <v>166</v>
      </c>
      <c r="I48" s="47" t="s">
        <v>206</v>
      </c>
      <c r="J48" s="47" t="s">
        <v>209</v>
      </c>
      <c r="K48" s="47" t="s">
        <v>211</v>
      </c>
      <c r="L48" s="49">
        <f>+IF(OR(K48="BGA",K48="FP",K48="TH"),1,IF($K$4*B48&lt;100,5,0))</f>
        <v>5</v>
      </c>
      <c r="M48" s="48">
        <f>+IF(AND(K48="",$K$4*B48&gt;100),0.05,0)</f>
        <v>0</v>
      </c>
      <c r="N48" s="49">
        <f>+ROUNDUP($K$4*B48*M48+L48,0)</f>
        <v>5</v>
      </c>
      <c r="O48" s="42">
        <f>+IF(OR(LEFT(I48&amp;"",1)="C",LEFT(I48&amp;"",1)="R"),ROUNDUP($K$4*B48+N48,-1),$K$4*B48+N48)</f>
        <v>13</v>
      </c>
    </row>
    <row r="49" spans="1:15" x14ac:dyDescent="0.25">
      <c r="A49" s="13"/>
      <c r="B49" s="46">
        <v>1</v>
      </c>
      <c r="C49" s="46" t="s">
        <v>35</v>
      </c>
      <c r="D49" s="46" t="s">
        <v>57</v>
      </c>
      <c r="E49" s="47" t="s">
        <v>60</v>
      </c>
      <c r="F49" s="47" t="s">
        <v>105</v>
      </c>
      <c r="G49" s="47" t="s">
        <v>142</v>
      </c>
      <c r="H49" s="47" t="s">
        <v>142</v>
      </c>
      <c r="I49" s="47" t="s">
        <v>207</v>
      </c>
      <c r="J49" s="47" t="s">
        <v>209</v>
      </c>
      <c r="K49" s="47" t="s">
        <v>211</v>
      </c>
      <c r="L49" s="49">
        <f t="shared" ref="L49" si="76">+IF(OR(K49="BGA",K49="FP",K49="TH"),1,IF($K$4*B49&lt;100,5,0))</f>
        <v>5</v>
      </c>
      <c r="M49" s="48">
        <f t="shared" ref="M49" si="77">+IF(AND(K49="",$K$4*B49&gt;100),0.05,0)</f>
        <v>0</v>
      </c>
      <c r="N49" s="49">
        <f t="shared" ref="N49" si="78">+ROUNDUP($K$4*B49*M49+L49,0)</f>
        <v>5</v>
      </c>
      <c r="O49" s="42">
        <f t="shared" ref="O49" si="79">+IF(OR(LEFT(I49&amp;"",1)="C",LEFT(I49&amp;"",1)="R"),ROUNDUP($K$4*B49+N49,-1),$K$4*B49+N49)</f>
        <v>9</v>
      </c>
    </row>
    <row r="50" spans="1:15" x14ac:dyDescent="0.25">
      <c r="A50" s="14"/>
      <c r="B50" s="43">
        <f>SUM(B10:B49)</f>
        <v>159</v>
      </c>
      <c r="C50" s="50"/>
      <c r="D50" s="50"/>
      <c r="E50" s="44" t="s">
        <v>9</v>
      </c>
      <c r="F50" s="44"/>
      <c r="G50" s="44"/>
      <c r="H50" s="44"/>
      <c r="I50" s="45"/>
      <c r="J50" s="45"/>
      <c r="K50" s="44"/>
      <c r="L50" s="45"/>
      <c r="M50" s="45"/>
      <c r="N50" s="45"/>
      <c r="O50" s="45"/>
    </row>
    <row r="51" spans="1:15" x14ac:dyDescent="0.25">
      <c r="B51" s="1"/>
      <c r="C51" s="1"/>
      <c r="D51" s="1"/>
      <c r="E51" s="1"/>
    </row>
    <row r="52" spans="1:15" x14ac:dyDescent="0.25">
      <c r="B52" s="1"/>
      <c r="C52" s="1"/>
      <c r="D52" s="1"/>
      <c r="E52" s="1"/>
    </row>
    <row r="53" spans="1:15" x14ac:dyDescent="0.25">
      <c r="B53" s="1"/>
      <c r="C53" s="1"/>
      <c r="D53" s="1"/>
      <c r="E53" s="1"/>
    </row>
    <row r="54" spans="1:15" ht="17.5" x14ac:dyDescent="0.25">
      <c r="B54" s="1"/>
      <c r="C54" s="1"/>
      <c r="D54" s="1"/>
      <c r="E54" s="55" t="s">
        <v>8</v>
      </c>
      <c r="F54" s="56"/>
      <c r="G54" s="57"/>
      <c r="H54" s="20"/>
      <c r="I54" s="21"/>
    </row>
    <row r="55" spans="1:15" x14ac:dyDescent="0.25">
      <c r="E55" s="33" t="s">
        <v>3</v>
      </c>
      <c r="F55" s="34"/>
      <c r="G55" s="35">
        <f>COUNT(B10:B49)</f>
        <v>40</v>
      </c>
    </row>
    <row r="56" spans="1:15" x14ac:dyDescent="0.25">
      <c r="E56" s="16" t="s">
        <v>4</v>
      </c>
      <c r="F56" s="30"/>
      <c r="G56" s="28">
        <f>SUMIF($K$10:$K$49, "", $B$10:$B$49)</f>
        <v>0</v>
      </c>
    </row>
    <row r="57" spans="1:15" x14ac:dyDescent="0.25">
      <c r="E57" s="33" t="s">
        <v>5</v>
      </c>
      <c r="F57" s="34"/>
      <c r="G57" s="36">
        <f>SUMIF($K$10:$K$49, "TH", $B$10:$B$49)</f>
        <v>0</v>
      </c>
    </row>
    <row r="58" spans="1:15" x14ac:dyDescent="0.25">
      <c r="E58" s="16" t="s">
        <v>6</v>
      </c>
      <c r="F58" s="30"/>
      <c r="G58" s="28">
        <f>SUMIF($K$10:$K$49, "FP", $B$10:$B$49)</f>
        <v>0</v>
      </c>
    </row>
    <row r="59" spans="1:15" x14ac:dyDescent="0.25">
      <c r="E59" s="33" t="s">
        <v>7</v>
      </c>
      <c r="F59" s="34"/>
      <c r="G59" s="36">
        <f>SUMIF($K$10:$K$49, "BGA", $B$10:$B$49)</f>
        <v>0</v>
      </c>
    </row>
    <row r="60" spans="1:15" x14ac:dyDescent="0.25">
      <c r="E60" s="27" t="s">
        <v>16</v>
      </c>
      <c r="F60" s="31"/>
      <c r="G60" s="29">
        <f>SUMIF($K$10:$K$49, "M", $B$10:$B$49)</f>
        <v>159</v>
      </c>
    </row>
  </sheetData>
  <mergeCells count="3">
    <mergeCell ref="I4:J4"/>
    <mergeCell ref="G8:H8"/>
    <mergeCell ref="E54:G54"/>
  </mergeCells>
  <phoneticPr fontId="0" type="noConversion"/>
  <conditionalFormatting sqref="B10:N49">
    <cfRule type="expression" dxfId="1" priority="1" stopIfTrue="1">
      <formula>MOD(ROW(),2)=1</formula>
    </cfRule>
    <cfRule type="expression" dxfId="0" priority="2" stopIfTrue="1">
      <formula>MMOD(ROW(),2)=0</formula>
    </cfRule>
  </conditionalFormatting>
  <pageMargins left="0.46" right="0.36" top="0.57999999999999996" bottom="1" header="0.5" footer="0.5"/>
  <pageSetup scale="79" fitToHeight="99" orientation="landscape" horizontalDpi="200" verticalDpi="200" r:id="rId1"/>
  <headerFooter alignWithMargins="0">
    <oddFooter>&amp;L&amp;"Arial,Bold"LIGO&amp;C&amp;D&amp;RPage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 List Report</vt:lpstr>
    </vt:vector>
  </TitlesOfParts>
  <Company>LIGO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 Sigg</cp:lastModifiedBy>
  <cp:lastPrinted>2007-03-08T22:58:03Z</cp:lastPrinted>
  <dcterms:created xsi:type="dcterms:W3CDTF">2002-11-05T15:28:02Z</dcterms:created>
  <dcterms:modified xsi:type="dcterms:W3CDTF">2025-06-30T21:19:12Z</dcterms:modified>
</cp:coreProperties>
</file>